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famulare\Dropbox (IDM)\VaccineNetworkTransmissionPaper\data\shedding\"/>
    </mc:Choice>
  </mc:AlternateContent>
  <bookViews>
    <workbookView minimized="1" xWindow="-15" yWindow="-15" windowWidth="15135" windowHeight="5745" tabRatio="939" activeTab="5"/>
  </bookViews>
  <sheets>
    <sheet name="calculators" sheetId="9" r:id="rId1"/>
    <sheet name="Events" sheetId="1" r:id="rId2"/>
    <sheet name="NAbSerum_dist" sheetId="4" r:id="rId3"/>
    <sheet name="Shed_titer_dist" sheetId="7" r:id="rId4"/>
    <sheet name="Shed_GMT_time" sheetId="27" r:id="rId5"/>
    <sheet name="Shed_dur_dist" sheetId="8" r:id="rId6"/>
    <sheet name="Shed_dur_cross_section" sheetId="29" r:id="rId7"/>
    <sheet name="Shed_titer_cross_section" sheetId="30" r:id="rId8"/>
    <sheet name="Individual_serorepsonse" sheetId="28" r:id="rId9"/>
  </sheets>
  <definedNames>
    <definedName name="_xlnm._FilterDatabase" localSheetId="3" hidden="1">Shed_titer_dist!$A$1:$AQ$520</definedName>
  </definedNames>
  <calcPr calcId="152511"/>
</workbook>
</file>

<file path=xl/calcChain.xml><?xml version="1.0" encoding="utf-8"?>
<calcChain xmlns="http://schemas.openxmlformats.org/spreadsheetml/2006/main">
  <c r="W1248" i="1" l="1"/>
  <c r="W1247" i="1"/>
  <c r="W1246" i="1"/>
  <c r="W1240" i="1"/>
  <c r="W1239" i="1"/>
  <c r="W1238" i="1"/>
  <c r="W1243" i="1"/>
  <c r="W1242" i="1"/>
  <c r="W1235" i="1"/>
  <c r="W1234" i="1"/>
  <c r="W1232" i="1"/>
  <c r="W1231" i="1"/>
  <c r="W1230" i="1"/>
  <c r="W1227" i="1"/>
  <c r="W1226" i="1"/>
  <c r="R6" i="9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Y814" i="1"/>
  <c r="Y809" i="1"/>
  <c r="Y816" i="1"/>
  <c r="Y815" i="1"/>
  <c r="Y810" i="1"/>
  <c r="Y804" i="1"/>
  <c r="Y803" i="1"/>
  <c r="Y813" i="1"/>
  <c r="Y808" i="1"/>
  <c r="Y807" i="1"/>
  <c r="Y802" i="1"/>
  <c r="Y801" i="1"/>
  <c r="P815" i="1"/>
  <c r="P809" i="1"/>
  <c r="P803" i="1"/>
  <c r="P812" i="1"/>
  <c r="P806" i="1"/>
  <c r="P800" i="1"/>
  <c r="W817" i="1"/>
  <c r="W811" i="1"/>
  <c r="W805" i="1"/>
  <c r="W814" i="1"/>
  <c r="W808" i="1"/>
  <c r="W802" i="1"/>
  <c r="E41" i="4"/>
  <c r="F41" i="4" s="1"/>
  <c r="G41" i="4" s="1"/>
  <c r="H41" i="4" s="1"/>
  <c r="I41" i="4" s="1"/>
  <c r="J41" i="4" s="1"/>
  <c r="K41" i="4" s="1"/>
  <c r="L41" i="4" s="1"/>
  <c r="C35" i="4"/>
  <c r="D35" i="4" s="1"/>
  <c r="E35" i="4" s="1"/>
  <c r="F35" i="4" s="1"/>
  <c r="G35" i="4" s="1"/>
  <c r="H35" i="4" s="1"/>
  <c r="I35" i="4" s="1"/>
  <c r="J35" i="4" s="1"/>
  <c r="K35" i="4" s="1"/>
  <c r="L35" i="4" s="1"/>
  <c r="M35" i="4" s="1"/>
  <c r="C39" i="4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C42" i="4"/>
  <c r="D42" i="4" s="1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C33" i="4"/>
  <c r="D33" i="4" s="1"/>
  <c r="E33" i="4" s="1"/>
  <c r="F33" i="4" s="1"/>
  <c r="G33" i="4" s="1"/>
  <c r="H33" i="4" s="1"/>
  <c r="I33" i="4" s="1"/>
  <c r="C26" i="4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C29" i="4"/>
  <c r="D29" i="4" s="1"/>
  <c r="E29" i="4" s="1"/>
  <c r="F29" i="4" s="1"/>
  <c r="G29" i="4" s="1"/>
  <c r="H29" i="4" s="1"/>
  <c r="I29" i="4" s="1"/>
  <c r="J29" i="4" s="1"/>
  <c r="K29" i="4" s="1"/>
  <c r="L29" i="4" s="1"/>
  <c r="C203" i="4"/>
  <c r="D203" i="4" s="1"/>
  <c r="E203" i="4" s="1"/>
  <c r="F203" i="4" s="1"/>
  <c r="G203" i="4" s="1"/>
  <c r="H203" i="4" s="1"/>
  <c r="I203" i="4" s="1"/>
  <c r="J203" i="4" s="1"/>
  <c r="K203" i="4" s="1"/>
  <c r="L203" i="4" s="1"/>
  <c r="M203" i="4" s="1"/>
  <c r="N203" i="4" s="1"/>
  <c r="C40" i="4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C38" i="4"/>
  <c r="D38" i="4" s="1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C43" i="4"/>
  <c r="D43" i="4" s="1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C41" i="4"/>
  <c r="D41" i="4" s="1"/>
  <c r="C34" i="4"/>
  <c r="D34" i="4" s="1"/>
  <c r="E34" i="4" s="1"/>
  <c r="F34" i="4" s="1"/>
  <c r="G34" i="4" s="1"/>
  <c r="H34" i="4" s="1"/>
  <c r="I34" i="4" s="1"/>
  <c r="J34" i="4" s="1"/>
  <c r="K34" i="4" s="1"/>
  <c r="L34" i="4" s="1"/>
  <c r="M34" i="4" s="1"/>
  <c r="C32" i="4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C37" i="4"/>
  <c r="D37" i="4" s="1"/>
  <c r="E37" i="4" s="1"/>
  <c r="F37" i="4" s="1"/>
  <c r="G37" i="4" s="1"/>
  <c r="H37" i="4" s="1"/>
  <c r="I37" i="4" s="1"/>
  <c r="J37" i="4" s="1"/>
  <c r="K37" i="4" s="1"/>
  <c r="L37" i="4" s="1"/>
  <c r="M37" i="4" s="1"/>
  <c r="N37" i="4" s="1"/>
  <c r="C36" i="4"/>
  <c r="D36" i="4" s="1"/>
  <c r="E36" i="4" s="1"/>
  <c r="F36" i="4" s="1"/>
  <c r="G36" i="4" s="1"/>
  <c r="H36" i="4" s="1"/>
  <c r="I36" i="4" s="1"/>
  <c r="J36" i="4" s="1"/>
  <c r="C28" i="4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C27" i="4"/>
  <c r="D27" i="4" s="1"/>
  <c r="E27" i="4" s="1"/>
  <c r="F27" i="4" s="1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P70" i="1"/>
  <c r="P69" i="1"/>
  <c r="P60" i="1"/>
  <c r="P59" i="1"/>
  <c r="W57" i="1"/>
  <c r="C30" i="4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C25" i="4"/>
  <c r="D25" i="4" s="1"/>
  <c r="E25" i="4" s="1"/>
  <c r="F25" i="4" s="1"/>
  <c r="G25" i="4" s="1"/>
  <c r="H25" i="4" s="1"/>
  <c r="I25" i="4" s="1"/>
  <c r="J25" i="4" s="1"/>
  <c r="K25" i="4" s="1"/>
  <c r="L25" i="4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C23" i="4"/>
  <c r="D23" i="4" s="1"/>
  <c r="E23" i="4" s="1"/>
  <c r="F23" i="4" s="1"/>
  <c r="G23" i="4" s="1"/>
  <c r="H23" i="4" s="1"/>
  <c r="I23" i="4" s="1"/>
  <c r="J23" i="4" s="1"/>
  <c r="K23" i="4" s="1"/>
  <c r="L23" i="4" s="1"/>
  <c r="C22" i="4"/>
  <c r="D22" i="4" s="1"/>
  <c r="E22" i="4" s="1"/>
  <c r="C21" i="4"/>
  <c r="D21" i="4" s="1"/>
  <c r="E21" i="4" s="1"/>
  <c r="F21" i="4" s="1"/>
  <c r="G21" i="4" s="1"/>
  <c r="H21" i="4" s="1"/>
  <c r="I21" i="4" s="1"/>
  <c r="J21" i="4" s="1"/>
  <c r="K21" i="4" s="1"/>
  <c r="L21" i="4" s="1"/>
  <c r="C20" i="4"/>
  <c r="D20" i="4" s="1"/>
  <c r="E20" i="4" s="1"/>
  <c r="F20" i="4" s="1"/>
  <c r="G20" i="4" s="1"/>
  <c r="H20" i="4" s="1"/>
  <c r="I20" i="4" s="1"/>
  <c r="J20" i="4" s="1"/>
  <c r="K20" i="4" s="1"/>
  <c r="L20" i="4" s="1"/>
  <c r="C19" i="4"/>
  <c r="D19" i="4" s="1"/>
  <c r="E19" i="4" s="1"/>
  <c r="F19" i="4" s="1"/>
  <c r="G19" i="4" s="1"/>
  <c r="H19" i="4" s="1"/>
  <c r="I19" i="4" s="1"/>
  <c r="J19" i="4" s="1"/>
  <c r="K19" i="4" s="1"/>
  <c r="L19" i="4" s="1"/>
  <c r="C18" i="4"/>
  <c r="D18" i="4" s="1"/>
  <c r="E18" i="4" s="1"/>
  <c r="F18" i="4" s="1"/>
  <c r="G18" i="4" s="1"/>
  <c r="H18" i="4" s="1"/>
  <c r="I18" i="4" s="1"/>
  <c r="J18" i="4" s="1"/>
  <c r="K18" i="4" s="1"/>
  <c r="L18" i="4" s="1"/>
  <c r="C17" i="4"/>
  <c r="D17" i="4" s="1"/>
  <c r="E17" i="4" s="1"/>
  <c r="F17" i="4" s="1"/>
  <c r="G17" i="4" s="1"/>
  <c r="H17" i="4" s="1"/>
  <c r="I17" i="4" s="1"/>
  <c r="J17" i="4" s="1"/>
  <c r="K17" i="4" s="1"/>
  <c r="L17" i="4" s="1"/>
  <c r="C16" i="4"/>
  <c r="D16" i="4" s="1"/>
  <c r="E16" i="4" s="1"/>
  <c r="F16" i="4" s="1"/>
  <c r="G16" i="4" s="1"/>
  <c r="H16" i="4" s="1"/>
  <c r="I16" i="4" s="1"/>
  <c r="J16" i="4" s="1"/>
  <c r="K16" i="4" s="1"/>
  <c r="L16" i="4" s="1"/>
  <c r="C15" i="4"/>
  <c r="D15" i="4" s="1"/>
  <c r="E15" i="4" s="1"/>
  <c r="F15" i="4" s="1"/>
  <c r="G15" i="4" s="1"/>
  <c r="H15" i="4" s="1"/>
  <c r="I15" i="4" s="1"/>
  <c r="J15" i="4" s="1"/>
  <c r="K15" i="4" s="1"/>
  <c r="L15" i="4" s="1"/>
  <c r="C14" i="4"/>
  <c r="D14" i="4" s="1"/>
  <c r="E14" i="4" s="1"/>
  <c r="F14" i="4" s="1"/>
  <c r="G14" i="4" s="1"/>
  <c r="H14" i="4" s="1"/>
  <c r="I14" i="4" s="1"/>
  <c r="J14" i="4" s="1"/>
  <c r="K14" i="4" s="1"/>
  <c r="L14" i="4" s="1"/>
  <c r="Y69" i="1"/>
  <c r="Y64" i="1"/>
  <c r="Y59" i="1"/>
  <c r="L68" i="1"/>
  <c r="L69" i="1" s="1"/>
  <c r="L70" i="1" s="1"/>
  <c r="L63" i="1"/>
  <c r="L64" i="1" s="1"/>
  <c r="L65" i="1" s="1"/>
  <c r="L58" i="1"/>
  <c r="L59" i="1" s="1"/>
  <c r="L60" i="1" s="1"/>
  <c r="U281" i="1"/>
  <c r="T281" i="1"/>
  <c r="R281" i="1"/>
  <c r="R280" i="1"/>
  <c r="R279" i="1"/>
  <c r="U275" i="1"/>
  <c r="T275" i="1"/>
  <c r="S275" i="1"/>
  <c r="S274" i="1"/>
  <c r="S273" i="1"/>
  <c r="R275" i="1"/>
  <c r="R274" i="1"/>
  <c r="R273" i="1"/>
  <c r="U269" i="1"/>
  <c r="T269" i="1"/>
  <c r="S269" i="1"/>
  <c r="S268" i="1"/>
  <c r="S267" i="1"/>
  <c r="R269" i="1"/>
  <c r="R268" i="1"/>
  <c r="R267" i="1"/>
  <c r="U263" i="1"/>
  <c r="T263" i="1"/>
  <c r="R263" i="1"/>
  <c r="R262" i="1"/>
  <c r="R261" i="1"/>
  <c r="T257" i="1"/>
  <c r="S257" i="1"/>
  <c r="S256" i="1"/>
  <c r="S255" i="1"/>
  <c r="R257" i="1"/>
  <c r="R256" i="1"/>
  <c r="R255" i="1"/>
  <c r="S251" i="1"/>
  <c r="S250" i="1"/>
  <c r="S249" i="1"/>
  <c r="U251" i="1"/>
  <c r="T251" i="1"/>
  <c r="R251" i="1"/>
  <c r="R250" i="1"/>
  <c r="R249" i="1"/>
  <c r="U245" i="1"/>
  <c r="T245" i="1"/>
  <c r="S244" i="1"/>
  <c r="S243" i="1"/>
  <c r="R245" i="1"/>
  <c r="R244" i="1"/>
  <c r="R243" i="1"/>
  <c r="U239" i="1"/>
  <c r="T239" i="1"/>
  <c r="S238" i="1"/>
  <c r="S237" i="1"/>
  <c r="R239" i="1"/>
  <c r="R238" i="1"/>
  <c r="R237" i="1"/>
  <c r="U233" i="1"/>
  <c r="T233" i="1"/>
  <c r="S233" i="1"/>
  <c r="S232" i="1"/>
  <c r="R233" i="1"/>
  <c r="R232" i="1"/>
  <c r="R231" i="1"/>
  <c r="T227" i="1"/>
  <c r="S227" i="1"/>
  <c r="S226" i="1"/>
  <c r="S225" i="1"/>
  <c r="R227" i="1"/>
  <c r="R226" i="1"/>
  <c r="R225" i="1"/>
  <c r="U221" i="1"/>
  <c r="T221" i="1"/>
  <c r="S220" i="1"/>
  <c r="S219" i="1"/>
  <c r="R221" i="1"/>
  <c r="S281" i="1"/>
  <c r="S280" i="1"/>
  <c r="S279" i="1"/>
  <c r="L279" i="1"/>
  <c r="L273" i="1"/>
  <c r="L267" i="1"/>
  <c r="S263" i="1"/>
  <c r="S262" i="1"/>
  <c r="S261" i="1"/>
  <c r="L261" i="1"/>
  <c r="U257" i="1"/>
  <c r="L255" i="1"/>
  <c r="L249" i="1"/>
  <c r="S245" i="1"/>
  <c r="L243" i="1"/>
  <c r="S239" i="1"/>
  <c r="L237" i="1"/>
  <c r="S231" i="1"/>
  <c r="L231" i="1"/>
  <c r="U227" i="1"/>
  <c r="L225" i="1"/>
  <c r="S221" i="1"/>
  <c r="R220" i="1"/>
  <c r="R219" i="1"/>
  <c r="L219" i="1"/>
  <c r="T215" i="1"/>
  <c r="U215" i="1"/>
  <c r="S214" i="1"/>
  <c r="S215" i="1"/>
  <c r="R215" i="1"/>
  <c r="R214" i="1"/>
  <c r="S213" i="1"/>
  <c r="R213" i="1"/>
  <c r="L213" i="1"/>
  <c r="P128" i="1"/>
  <c r="P125" i="1"/>
  <c r="X764" i="1"/>
  <c r="U764" i="1"/>
  <c r="T764" i="1"/>
  <c r="X749" i="1"/>
  <c r="U749" i="1"/>
  <c r="T749" i="1"/>
  <c r="X734" i="1"/>
  <c r="U734" i="1"/>
  <c r="T734" i="1"/>
  <c r="X769" i="1"/>
  <c r="U769" i="1"/>
  <c r="T769" i="1"/>
  <c r="X754" i="1"/>
  <c r="U754" i="1"/>
  <c r="T754" i="1"/>
  <c r="X739" i="1"/>
  <c r="U739" i="1"/>
  <c r="T739" i="1"/>
  <c r="X774" i="1"/>
  <c r="U774" i="1"/>
  <c r="T774" i="1"/>
  <c r="X759" i="1"/>
  <c r="U759" i="1"/>
  <c r="T759" i="1"/>
  <c r="X744" i="1"/>
  <c r="T744" i="1"/>
  <c r="U744" i="1"/>
  <c r="M41" i="4" l="1"/>
  <c r="N41" i="4" s="1"/>
  <c r="J33" i="4"/>
  <c r="K33" i="4" s="1"/>
  <c r="L33" i="4" s="1"/>
  <c r="M33" i="4" s="1"/>
  <c r="N32" i="4"/>
  <c r="K36" i="4"/>
  <c r="L36" i="4" s="1"/>
  <c r="M36" i="4" s="1"/>
  <c r="N36" i="4" s="1"/>
  <c r="N35" i="4"/>
  <c r="G27" i="4"/>
  <c r="H27" i="4" s="1"/>
  <c r="I27" i="4" s="1"/>
  <c r="J27" i="4" s="1"/>
  <c r="K27" i="4" s="1"/>
  <c r="L27" i="4" s="1"/>
  <c r="M27" i="4" s="1"/>
  <c r="N27" i="4" s="1"/>
  <c r="N31" i="4"/>
  <c r="M29" i="4"/>
  <c r="N29" i="4" s="1"/>
  <c r="M25" i="4"/>
  <c r="N25" i="4" s="1"/>
  <c r="M24" i="4"/>
  <c r="N24" i="4" s="1"/>
  <c r="M23" i="4"/>
  <c r="N23" i="4" s="1"/>
  <c r="F22" i="4"/>
  <c r="M21" i="4"/>
  <c r="N21" i="4" s="1"/>
  <c r="M20" i="4"/>
  <c r="N20" i="4" s="1"/>
  <c r="M19" i="4"/>
  <c r="N19" i="4" s="1"/>
  <c r="M18" i="4"/>
  <c r="N18" i="4" s="1"/>
  <c r="M17" i="4"/>
  <c r="N17" i="4" s="1"/>
  <c r="M16" i="4"/>
  <c r="N16" i="4" s="1"/>
  <c r="M15" i="4"/>
  <c r="N15" i="4" s="1"/>
  <c r="M14" i="4"/>
  <c r="N14" i="4" s="1"/>
  <c r="Y768" i="1"/>
  <c r="Y753" i="1"/>
  <c r="Y738" i="1"/>
  <c r="Y773" i="1"/>
  <c r="Y758" i="1"/>
  <c r="Y743" i="1"/>
  <c r="Y778" i="1"/>
  <c r="Y763" i="1"/>
  <c r="Y748" i="1"/>
  <c r="P768" i="1"/>
  <c r="P765" i="1"/>
  <c r="W764" i="1" s="1"/>
  <c r="P764" i="1"/>
  <c r="P753" i="1"/>
  <c r="P750" i="1"/>
  <c r="W749" i="1" s="1"/>
  <c r="P749" i="1"/>
  <c r="P738" i="1"/>
  <c r="P735" i="1"/>
  <c r="W734" i="1" s="1"/>
  <c r="P734" i="1"/>
  <c r="P773" i="1"/>
  <c r="P770" i="1"/>
  <c r="W769" i="1" s="1"/>
  <c r="P769" i="1"/>
  <c r="P758" i="1"/>
  <c r="P755" i="1"/>
  <c r="W754" i="1" s="1"/>
  <c r="P754" i="1"/>
  <c r="P743" i="1"/>
  <c r="P740" i="1"/>
  <c r="W739" i="1" s="1"/>
  <c r="P778" i="1"/>
  <c r="P775" i="1"/>
  <c r="W774" i="1" s="1"/>
  <c r="P774" i="1"/>
  <c r="P763" i="1"/>
  <c r="P760" i="1"/>
  <c r="W759" i="1" s="1"/>
  <c r="P748" i="1"/>
  <c r="P745" i="1"/>
  <c r="W744" i="1" s="1"/>
  <c r="P744" i="1"/>
  <c r="L768" i="1"/>
  <c r="L753" i="1"/>
  <c r="L738" i="1"/>
  <c r="L773" i="1"/>
  <c r="L758" i="1"/>
  <c r="L743" i="1"/>
  <c r="L778" i="1"/>
  <c r="L763" i="1"/>
  <c r="L748" i="1"/>
  <c r="M195" i="1"/>
  <c r="M180" i="1"/>
  <c r="M165" i="1"/>
  <c r="R18" i="9"/>
  <c r="S18" i="9" s="1"/>
  <c r="T18" i="9" s="1"/>
  <c r="U18" i="9" s="1"/>
  <c r="V18" i="9" s="1"/>
  <c r="W18" i="9" s="1"/>
  <c r="X18" i="9" s="1"/>
  <c r="Y18" i="9" s="1"/>
  <c r="Z18" i="9" s="1"/>
  <c r="AA18" i="9" s="1"/>
  <c r="AB18" i="9" s="1"/>
  <c r="AC18" i="9" s="1"/>
  <c r="AD18" i="9" s="1"/>
  <c r="AE18" i="9" s="1"/>
  <c r="AF18" i="9" s="1"/>
  <c r="AG18" i="9" s="1"/>
  <c r="AH18" i="9" s="1"/>
  <c r="AI18" i="9" s="1"/>
  <c r="AJ18" i="9" s="1"/>
  <c r="AK18" i="9" s="1"/>
  <c r="AL18" i="9" s="1"/>
  <c r="AM18" i="9" s="1"/>
  <c r="AN18" i="9" s="1"/>
  <c r="AO18" i="9" s="1"/>
  <c r="AP18" i="9" s="1"/>
  <c r="AQ18" i="9" s="1"/>
  <c r="AR18" i="9" s="1"/>
  <c r="AS18" i="9" s="1"/>
  <c r="AT18" i="9" s="1"/>
  <c r="AU18" i="9" s="1"/>
  <c r="AV18" i="9" s="1"/>
  <c r="AW18" i="9" s="1"/>
  <c r="AX18" i="9" s="1"/>
  <c r="AY18" i="9" s="1"/>
  <c r="AZ18" i="9" s="1"/>
  <c r="E80" i="8"/>
  <c r="C190" i="8"/>
  <c r="D190" i="8" s="1"/>
  <c r="E190" i="8" s="1"/>
  <c r="F190" i="8" s="1"/>
  <c r="G190" i="8" s="1"/>
  <c r="H190" i="8" s="1"/>
  <c r="I190" i="8" s="1"/>
  <c r="J190" i="8" s="1"/>
  <c r="K190" i="8" s="1"/>
  <c r="L190" i="8" s="1"/>
  <c r="M190" i="8" s="1"/>
  <c r="N190" i="8" s="1"/>
  <c r="O190" i="8" s="1"/>
  <c r="P190" i="8" s="1"/>
  <c r="Q190" i="8" s="1"/>
  <c r="R190" i="8" s="1"/>
  <c r="S190" i="8" s="1"/>
  <c r="T190" i="8" s="1"/>
  <c r="U190" i="8" s="1"/>
  <c r="V190" i="8" s="1"/>
  <c r="W190" i="8" s="1"/>
  <c r="X190" i="8" s="1"/>
  <c r="Y190" i="8" s="1"/>
  <c r="Z190" i="8" s="1"/>
  <c r="AA190" i="8" s="1"/>
  <c r="AB190" i="8" s="1"/>
  <c r="AC190" i="8" s="1"/>
  <c r="AD190" i="8" s="1"/>
  <c r="AE190" i="8" s="1"/>
  <c r="AF190" i="8" s="1"/>
  <c r="AG190" i="8" s="1"/>
  <c r="AH190" i="8" s="1"/>
  <c r="AI190" i="8" s="1"/>
  <c r="AJ190" i="8" s="1"/>
  <c r="AK190" i="8" s="1"/>
  <c r="C189" i="8"/>
  <c r="D189" i="8" s="1"/>
  <c r="E189" i="8" s="1"/>
  <c r="F189" i="8" s="1"/>
  <c r="G189" i="8" s="1"/>
  <c r="H189" i="8" s="1"/>
  <c r="I189" i="8" s="1"/>
  <c r="J189" i="8" s="1"/>
  <c r="K189" i="8" s="1"/>
  <c r="L189" i="8" s="1"/>
  <c r="M189" i="8" s="1"/>
  <c r="N189" i="8" s="1"/>
  <c r="O189" i="8" s="1"/>
  <c r="P189" i="8" s="1"/>
  <c r="Q189" i="8" s="1"/>
  <c r="R189" i="8" s="1"/>
  <c r="S189" i="8" s="1"/>
  <c r="T189" i="8" s="1"/>
  <c r="U189" i="8" s="1"/>
  <c r="V189" i="8" s="1"/>
  <c r="W189" i="8" s="1"/>
  <c r="X189" i="8" s="1"/>
  <c r="Y189" i="8" s="1"/>
  <c r="Z189" i="8" s="1"/>
  <c r="AA189" i="8" s="1"/>
  <c r="AB189" i="8" s="1"/>
  <c r="AC189" i="8" s="1"/>
  <c r="AD189" i="8" s="1"/>
  <c r="AE189" i="8" s="1"/>
  <c r="AF189" i="8" s="1"/>
  <c r="AG189" i="8" s="1"/>
  <c r="AH189" i="8" s="1"/>
  <c r="AI189" i="8" s="1"/>
  <c r="AJ189" i="8" s="1"/>
  <c r="AK189" i="8" s="1"/>
  <c r="C188" i="8"/>
  <c r="D188" i="8" s="1"/>
  <c r="E188" i="8" s="1"/>
  <c r="F188" i="8" s="1"/>
  <c r="G188" i="8" s="1"/>
  <c r="H188" i="8" s="1"/>
  <c r="I188" i="8" s="1"/>
  <c r="J188" i="8" s="1"/>
  <c r="K188" i="8" s="1"/>
  <c r="L188" i="8" s="1"/>
  <c r="M188" i="8" s="1"/>
  <c r="N188" i="8" s="1"/>
  <c r="O188" i="8" s="1"/>
  <c r="P188" i="8" s="1"/>
  <c r="Q188" i="8" s="1"/>
  <c r="R188" i="8" s="1"/>
  <c r="S188" i="8" s="1"/>
  <c r="T188" i="8" s="1"/>
  <c r="U188" i="8" s="1"/>
  <c r="V188" i="8" s="1"/>
  <c r="W188" i="8" s="1"/>
  <c r="X188" i="8" s="1"/>
  <c r="Y188" i="8" s="1"/>
  <c r="Z188" i="8" s="1"/>
  <c r="AA188" i="8" s="1"/>
  <c r="AB188" i="8" s="1"/>
  <c r="AC188" i="8" s="1"/>
  <c r="AD188" i="8" s="1"/>
  <c r="AE188" i="8" s="1"/>
  <c r="AF188" i="8" s="1"/>
  <c r="AG188" i="8" s="1"/>
  <c r="AH188" i="8" s="1"/>
  <c r="AI188" i="8" s="1"/>
  <c r="AJ188" i="8" s="1"/>
  <c r="AK188" i="8" s="1"/>
  <c r="C87" i="8"/>
  <c r="D87" i="8" s="1"/>
  <c r="E87" i="8" s="1"/>
  <c r="F87" i="8" s="1"/>
  <c r="C88" i="8"/>
  <c r="D88" i="8" s="1"/>
  <c r="E88" i="8" s="1"/>
  <c r="C86" i="8"/>
  <c r="D86" i="8" s="1"/>
  <c r="E86" i="8" s="1"/>
  <c r="F86" i="8" s="1"/>
  <c r="G86" i="8" s="1"/>
  <c r="H86" i="8" s="1"/>
  <c r="I86" i="8" s="1"/>
  <c r="J86" i="8" s="1"/>
  <c r="K86" i="8" s="1"/>
  <c r="C84" i="8"/>
  <c r="D84" i="8" s="1"/>
  <c r="E84" i="8" s="1"/>
  <c r="F84" i="8" s="1"/>
  <c r="G84" i="8" s="1"/>
  <c r="H84" i="8" s="1"/>
  <c r="I84" i="8" s="1"/>
  <c r="J84" i="8" s="1"/>
  <c r="K84" i="8" s="1"/>
  <c r="L84" i="8" s="1"/>
  <c r="C85" i="8"/>
  <c r="D85" i="8" s="1"/>
  <c r="E85" i="8" s="1"/>
  <c r="F85" i="8" s="1"/>
  <c r="C83" i="8"/>
  <c r="D83" i="8" s="1"/>
  <c r="C81" i="8"/>
  <c r="D81" i="8" s="1"/>
  <c r="E81" i="8" s="1"/>
  <c r="C82" i="8"/>
  <c r="D82" i="8" s="1"/>
  <c r="E82" i="8" s="1"/>
  <c r="C80" i="8"/>
  <c r="D80" i="8" s="1"/>
  <c r="W781" i="1"/>
  <c r="W779" i="1"/>
  <c r="W782" i="1"/>
  <c r="W780" i="1"/>
  <c r="W785" i="1"/>
  <c r="W783" i="1"/>
  <c r="W784" i="1"/>
  <c r="V779" i="1"/>
  <c r="V781" i="1"/>
  <c r="V782" i="1"/>
  <c r="V784" i="1"/>
  <c r="V783" i="1"/>
  <c r="V785" i="1"/>
  <c r="V780" i="1"/>
  <c r="C124" i="8"/>
  <c r="D124" i="8" s="1"/>
  <c r="E124" i="8" s="1"/>
  <c r="F124" i="8" s="1"/>
  <c r="G124" i="8" s="1"/>
  <c r="C121" i="8"/>
  <c r="D121" i="8" s="1"/>
  <c r="E121" i="8" s="1"/>
  <c r="F121" i="8" s="1"/>
  <c r="G121" i="8" s="1"/>
  <c r="C118" i="8"/>
  <c r="D118" i="8" s="1"/>
  <c r="E118" i="8" s="1"/>
  <c r="F118" i="8" s="1"/>
  <c r="G118" i="8" s="1"/>
  <c r="C120" i="8"/>
  <c r="D120" i="8" s="1"/>
  <c r="E120" i="8" s="1"/>
  <c r="F120" i="8" s="1"/>
  <c r="G120" i="8" s="1"/>
  <c r="H120" i="8" s="1"/>
  <c r="C123" i="8"/>
  <c r="D123" i="8" s="1"/>
  <c r="E123" i="8" s="1"/>
  <c r="F123" i="8" s="1"/>
  <c r="G123" i="8" s="1"/>
  <c r="C119" i="8"/>
  <c r="D119" i="8" s="1"/>
  <c r="E119" i="8" s="1"/>
  <c r="F119" i="8" s="1"/>
  <c r="G119" i="8" s="1"/>
  <c r="H119" i="8" s="1"/>
  <c r="C122" i="8"/>
  <c r="D122" i="8" s="1"/>
  <c r="E122" i="8" s="1"/>
  <c r="F122" i="8" s="1"/>
  <c r="G122" i="8" s="1"/>
  <c r="Y564" i="1"/>
  <c r="Y558" i="1"/>
  <c r="Y552" i="1"/>
  <c r="Y561" i="1"/>
  <c r="Y555" i="1"/>
  <c r="Y549" i="1"/>
  <c r="Y559" i="1"/>
  <c r="Y553" i="1"/>
  <c r="Y547" i="1"/>
  <c r="M27" i="9"/>
  <c r="M26" i="9"/>
  <c r="M25" i="9"/>
  <c r="M24" i="9"/>
  <c r="M23" i="9"/>
  <c r="M22" i="9"/>
  <c r="M21" i="9"/>
  <c r="M20" i="9"/>
  <c r="M19" i="9"/>
  <c r="AB786" i="1"/>
  <c r="AB792" i="1"/>
  <c r="AB788" i="1"/>
  <c r="AB790" i="1"/>
  <c r="C126" i="8"/>
  <c r="D126" i="8" s="1"/>
  <c r="E126" i="8" s="1"/>
  <c r="F126" i="8" s="1"/>
  <c r="G126" i="8" s="1"/>
  <c r="H126" i="8" s="1"/>
  <c r="C125" i="8"/>
  <c r="D125" i="8" s="1"/>
  <c r="E125" i="8" s="1"/>
  <c r="F125" i="8" s="1"/>
  <c r="G125" i="8" s="1"/>
  <c r="H125" i="8" s="1"/>
  <c r="C105" i="8"/>
  <c r="D105" i="8" s="1"/>
  <c r="E105" i="8" s="1"/>
  <c r="C106" i="8"/>
  <c r="D106" i="8" s="1"/>
  <c r="E106" i="8" s="1"/>
  <c r="C107" i="8"/>
  <c r="D107" i="8" s="1"/>
  <c r="E107" i="8" s="1"/>
  <c r="F107" i="8" s="1"/>
  <c r="G107" i="8" s="1"/>
  <c r="H107" i="8" s="1"/>
  <c r="I107" i="8" s="1"/>
  <c r="J107" i="8" s="1"/>
  <c r="K107" i="8" s="1"/>
  <c r="L107" i="8" s="1"/>
  <c r="M107" i="8" s="1"/>
  <c r="N107" i="8" s="1"/>
  <c r="O107" i="8" s="1"/>
  <c r="C104" i="8"/>
  <c r="D104" i="8" s="1"/>
  <c r="E104" i="8" s="1"/>
  <c r="F104" i="8" s="1"/>
  <c r="C114" i="8"/>
  <c r="D114" i="8" s="1"/>
  <c r="E114" i="8" s="1"/>
  <c r="F114" i="8" s="1"/>
  <c r="G114" i="8" s="1"/>
  <c r="H114" i="8" s="1"/>
  <c r="I114" i="8" s="1"/>
  <c r="J114" i="8" s="1"/>
  <c r="K114" i="8" s="1"/>
  <c r="L114" i="8" s="1"/>
  <c r="M114" i="8" s="1"/>
  <c r="N114" i="8" s="1"/>
  <c r="O114" i="8" s="1"/>
  <c r="C115" i="8"/>
  <c r="D115" i="8" s="1"/>
  <c r="E115" i="8" s="1"/>
  <c r="F115" i="8" s="1"/>
  <c r="G115" i="8" s="1"/>
  <c r="H115" i="8" s="1"/>
  <c r="I115" i="8" s="1"/>
  <c r="J115" i="8" s="1"/>
  <c r="K115" i="8" s="1"/>
  <c r="L115" i="8" s="1"/>
  <c r="M115" i="8" s="1"/>
  <c r="N115" i="8" s="1"/>
  <c r="O115" i="8" s="1"/>
  <c r="C117" i="8"/>
  <c r="D117" i="8" s="1"/>
  <c r="E117" i="8" s="1"/>
  <c r="F117" i="8" s="1"/>
  <c r="G117" i="8" s="1"/>
  <c r="H117" i="8" s="1"/>
  <c r="I117" i="8" s="1"/>
  <c r="J117" i="8" s="1"/>
  <c r="K117" i="8" s="1"/>
  <c r="L117" i="8" s="1"/>
  <c r="M117" i="8" s="1"/>
  <c r="N117" i="8" s="1"/>
  <c r="O117" i="8" s="1"/>
  <c r="C116" i="8"/>
  <c r="D116" i="8" s="1"/>
  <c r="E116" i="8" s="1"/>
  <c r="F116" i="8" s="1"/>
  <c r="G116" i="8" s="1"/>
  <c r="H116" i="8" s="1"/>
  <c r="I116" i="8" s="1"/>
  <c r="J116" i="8" s="1"/>
  <c r="K116" i="8" s="1"/>
  <c r="L116" i="8" s="1"/>
  <c r="M116" i="8" s="1"/>
  <c r="N116" i="8" s="1"/>
  <c r="O116" i="8" s="1"/>
  <c r="C113" i="8"/>
  <c r="D113" i="8" s="1"/>
  <c r="E113" i="8" s="1"/>
  <c r="F113" i="8" s="1"/>
  <c r="G113" i="8" s="1"/>
  <c r="H113" i="8" s="1"/>
  <c r="I113" i="8" s="1"/>
  <c r="J113" i="8" s="1"/>
  <c r="K113" i="8" s="1"/>
  <c r="L113" i="8" s="1"/>
  <c r="M113" i="8" s="1"/>
  <c r="N113" i="8" s="1"/>
  <c r="O113" i="8" s="1"/>
  <c r="D109" i="8"/>
  <c r="E109" i="8" s="1"/>
  <c r="F109" i="8" s="1"/>
  <c r="C109" i="8"/>
  <c r="C110" i="8"/>
  <c r="D110" i="8" s="1"/>
  <c r="E110" i="8" s="1"/>
  <c r="F110" i="8" s="1"/>
  <c r="C111" i="8"/>
  <c r="D111" i="8"/>
  <c r="E111" i="8" s="1"/>
  <c r="F111" i="8" s="1"/>
  <c r="G111" i="8" s="1"/>
  <c r="H111" i="8" s="1"/>
  <c r="I111" i="8" s="1"/>
  <c r="J111" i="8" s="1"/>
  <c r="K111" i="8" s="1"/>
  <c r="L111" i="8" s="1"/>
  <c r="M111" i="8" s="1"/>
  <c r="N111" i="8" s="1"/>
  <c r="O111" i="8" s="1"/>
  <c r="C112" i="8"/>
  <c r="D112" i="8" s="1"/>
  <c r="E112" i="8" s="1"/>
  <c r="F112" i="8" s="1"/>
  <c r="G112" i="8" s="1"/>
  <c r="H112" i="8" s="1"/>
  <c r="I112" i="8" s="1"/>
  <c r="J112" i="8" s="1"/>
  <c r="K112" i="8" s="1"/>
  <c r="L112" i="8" s="1"/>
  <c r="M112" i="8" s="1"/>
  <c r="N112" i="8" s="1"/>
  <c r="O112" i="8" s="1"/>
  <c r="P537" i="1"/>
  <c r="P538" i="1"/>
  <c r="P540" i="1"/>
  <c r="P539" i="1"/>
  <c r="P536" i="1"/>
  <c r="P532" i="1"/>
  <c r="P533" i="1"/>
  <c r="P535" i="1"/>
  <c r="P534" i="1"/>
  <c r="C120" i="4"/>
  <c r="D120" i="4" s="1"/>
  <c r="E120" i="4" s="1"/>
  <c r="C121" i="4"/>
  <c r="C123" i="4"/>
  <c r="C122" i="4"/>
  <c r="C119" i="4"/>
  <c r="D119" i="4" s="1"/>
  <c r="C115" i="4"/>
  <c r="D115" i="4" s="1"/>
  <c r="E115" i="4" s="1"/>
  <c r="C116" i="4"/>
  <c r="D116" i="4" s="1"/>
  <c r="E116" i="4" s="1"/>
  <c r="C118" i="4"/>
  <c r="C117" i="4"/>
  <c r="D117" i="4" s="1"/>
  <c r="C114" i="4"/>
  <c r="D114" i="4" s="1"/>
  <c r="E114" i="4" s="1"/>
  <c r="F114" i="4" s="1"/>
  <c r="G114" i="4" s="1"/>
  <c r="H114" i="4" s="1"/>
  <c r="Y530" i="1"/>
  <c r="D108" i="8"/>
  <c r="E108" i="8" s="1"/>
  <c r="F108" i="8" s="1"/>
  <c r="C108" i="8"/>
  <c r="C13" i="8"/>
  <c r="D13" i="8" s="1"/>
  <c r="E13" i="8" s="1"/>
  <c r="F13" i="8" s="1"/>
  <c r="C11" i="8"/>
  <c r="D11" i="8" s="1"/>
  <c r="E11" i="8" s="1"/>
  <c r="F11" i="8" s="1"/>
  <c r="G11" i="8" s="1"/>
  <c r="H11" i="8" s="1"/>
  <c r="I11" i="8" s="1"/>
  <c r="J11" i="8" s="1"/>
  <c r="C9" i="8"/>
  <c r="D9" i="8" s="1"/>
  <c r="E9" i="8" s="1"/>
  <c r="F9" i="8" s="1"/>
  <c r="C12" i="8"/>
  <c r="D12" i="8" s="1"/>
  <c r="E12" i="8" s="1"/>
  <c r="F12" i="8" s="1"/>
  <c r="W1004" i="1"/>
  <c r="W1003" i="1"/>
  <c r="W1002" i="1"/>
  <c r="P1003" i="1"/>
  <c r="P1004" i="1"/>
  <c r="V1002" i="1"/>
  <c r="C10" i="8"/>
  <c r="D10" i="8" s="1"/>
  <c r="E10" i="8" s="1"/>
  <c r="F10" i="8" s="1"/>
  <c r="C8" i="8"/>
  <c r="D8" i="8" s="1"/>
  <c r="E8" i="8" s="1"/>
  <c r="F8" i="8" s="1"/>
  <c r="C186" i="8"/>
  <c r="D186" i="8" s="1"/>
  <c r="E186" i="8" s="1"/>
  <c r="F186" i="8" s="1"/>
  <c r="C129" i="4"/>
  <c r="D129" i="4" s="1"/>
  <c r="E129" i="4" s="1"/>
  <c r="F129" i="4" s="1"/>
  <c r="G129" i="4" s="1"/>
  <c r="H129" i="4" s="1"/>
  <c r="I129" i="4" s="1"/>
  <c r="J129" i="4" s="1"/>
  <c r="K129" i="4" s="1"/>
  <c r="L129" i="4" s="1"/>
  <c r="M129" i="4" s="1"/>
  <c r="C127" i="4"/>
  <c r="D127" i="4" s="1"/>
  <c r="E127" i="4" s="1"/>
  <c r="F127" i="4" s="1"/>
  <c r="G127" i="4" s="1"/>
  <c r="H127" i="4" s="1"/>
  <c r="I127" i="4" s="1"/>
  <c r="J127" i="4" s="1"/>
  <c r="K127" i="4" s="1"/>
  <c r="L127" i="4" s="1"/>
  <c r="M127" i="4" s="1"/>
  <c r="N127" i="4" s="1"/>
  <c r="C125" i="4"/>
  <c r="D125" i="4" s="1"/>
  <c r="E125" i="4" s="1"/>
  <c r="F125" i="4" s="1"/>
  <c r="G125" i="4" s="1"/>
  <c r="H125" i="4" s="1"/>
  <c r="I125" i="4" s="1"/>
  <c r="J125" i="4" s="1"/>
  <c r="K125" i="4" s="1"/>
  <c r="L125" i="4" s="1"/>
  <c r="M125" i="4" s="1"/>
  <c r="N125" i="4" s="1"/>
  <c r="C128" i="4"/>
  <c r="D128" i="4" s="1"/>
  <c r="E128" i="4" s="1"/>
  <c r="F128" i="4" s="1"/>
  <c r="G128" i="4" s="1"/>
  <c r="H128" i="4" s="1"/>
  <c r="I128" i="4" s="1"/>
  <c r="J128" i="4" s="1"/>
  <c r="K128" i="4" s="1"/>
  <c r="L128" i="4" s="1"/>
  <c r="M128" i="4" s="1"/>
  <c r="N128" i="4" s="1"/>
  <c r="C126" i="4"/>
  <c r="D126" i="4" s="1"/>
  <c r="E126" i="4" s="1"/>
  <c r="F126" i="4" s="1"/>
  <c r="G126" i="4" s="1"/>
  <c r="H126" i="4" s="1"/>
  <c r="I126" i="4" s="1"/>
  <c r="J126" i="4" s="1"/>
  <c r="K126" i="4" s="1"/>
  <c r="L126" i="4" s="1"/>
  <c r="M126" i="4" s="1"/>
  <c r="N126" i="4" s="1"/>
  <c r="C124" i="4"/>
  <c r="D124" i="4" s="1"/>
  <c r="E124" i="4" s="1"/>
  <c r="F124" i="4" s="1"/>
  <c r="G124" i="4" s="1"/>
  <c r="H124" i="4" s="1"/>
  <c r="I124" i="4" s="1"/>
  <c r="J124" i="4" s="1"/>
  <c r="K124" i="4" s="1"/>
  <c r="L124" i="4" s="1"/>
  <c r="M124" i="4" s="1"/>
  <c r="N124" i="4" s="1"/>
  <c r="L569" i="1"/>
  <c r="L565" i="1"/>
  <c r="L567" i="1"/>
  <c r="D20" i="29"/>
  <c r="D19" i="29"/>
  <c r="D18" i="29"/>
  <c r="D17" i="29"/>
  <c r="D16" i="29"/>
  <c r="D15" i="29"/>
  <c r="D14" i="29"/>
  <c r="D28" i="29"/>
  <c r="D27" i="29"/>
  <c r="D26" i="29"/>
  <c r="D31" i="29"/>
  <c r="D30" i="29"/>
  <c r="D29" i="29"/>
  <c r="D34" i="29"/>
  <c r="D33" i="29"/>
  <c r="D32" i="29"/>
  <c r="D37" i="29"/>
  <c r="D36" i="29"/>
  <c r="D35" i="29"/>
  <c r="L860" i="1"/>
  <c r="D25" i="29"/>
  <c r="D24" i="29"/>
  <c r="D23" i="29"/>
  <c r="D22" i="29"/>
  <c r="D21" i="29"/>
  <c r="C187" i="8"/>
  <c r="D187" i="8" s="1"/>
  <c r="E187" i="8" s="1"/>
  <c r="F187" i="8" s="1"/>
  <c r="R385" i="1"/>
  <c r="R384" i="1"/>
  <c r="R383" i="1"/>
  <c r="R387" i="1"/>
  <c r="R386" i="1"/>
  <c r="R399" i="1"/>
  <c r="R398" i="1"/>
  <c r="R397" i="1"/>
  <c r="R402" i="1"/>
  <c r="R401" i="1"/>
  <c r="R400" i="1"/>
  <c r="R373" i="1"/>
  <c r="R372" i="1"/>
  <c r="R371" i="1"/>
  <c r="R370" i="1"/>
  <c r="R375" i="1"/>
  <c r="R374" i="1"/>
  <c r="R380" i="1"/>
  <c r="R379" i="1"/>
  <c r="R378" i="1"/>
  <c r="R377" i="1"/>
  <c r="R376" i="1"/>
  <c r="R382" i="1"/>
  <c r="R381" i="1"/>
  <c r="R395" i="1"/>
  <c r="R394" i="1"/>
  <c r="R393" i="1"/>
  <c r="R392" i="1"/>
  <c r="R391" i="1"/>
  <c r="R390" i="1"/>
  <c r="R389" i="1"/>
  <c r="R388" i="1"/>
  <c r="R396" i="1"/>
  <c r="R369" i="1"/>
  <c r="R368" i="1"/>
  <c r="R367" i="1"/>
  <c r="R366" i="1"/>
  <c r="R365" i="1"/>
  <c r="R364" i="1"/>
  <c r="R363" i="1"/>
  <c r="R362" i="1"/>
  <c r="R361" i="1"/>
  <c r="C85" i="4"/>
  <c r="D85" i="4" s="1"/>
  <c r="E85" i="4" s="1"/>
  <c r="F85" i="4" s="1"/>
  <c r="G85" i="4" s="1"/>
  <c r="H85" i="4" s="1"/>
  <c r="I85" i="4" s="1"/>
  <c r="J85" i="4" s="1"/>
  <c r="K85" i="4" s="1"/>
  <c r="L85" i="4" s="1"/>
  <c r="M85" i="4" s="1"/>
  <c r="C84" i="4"/>
  <c r="D84" i="4" s="1"/>
  <c r="E84" i="4" s="1"/>
  <c r="F84" i="4" s="1"/>
  <c r="G84" i="4" s="1"/>
  <c r="H84" i="4" s="1"/>
  <c r="I84" i="4" s="1"/>
  <c r="J84" i="4" s="1"/>
  <c r="K84" i="4" s="1"/>
  <c r="L84" i="4" s="1"/>
  <c r="M84" i="4" s="1"/>
  <c r="C83" i="4"/>
  <c r="D83" i="4" s="1"/>
  <c r="E83" i="4" s="1"/>
  <c r="F83" i="4" s="1"/>
  <c r="G83" i="4" s="1"/>
  <c r="H83" i="4" s="1"/>
  <c r="I83" i="4" s="1"/>
  <c r="J83" i="4" s="1"/>
  <c r="K83" i="4" s="1"/>
  <c r="L83" i="4" s="1"/>
  <c r="M83" i="4" s="1"/>
  <c r="N83" i="4" s="1"/>
  <c r="C81" i="4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C82" i="4"/>
  <c r="D82" i="4" s="1"/>
  <c r="E82" i="4" s="1"/>
  <c r="F82" i="4" s="1"/>
  <c r="G82" i="4" s="1"/>
  <c r="H82" i="4" s="1"/>
  <c r="I82" i="4" s="1"/>
  <c r="J82" i="4" s="1"/>
  <c r="K82" i="4" s="1"/>
  <c r="L82" i="4" s="1"/>
  <c r="M82" i="4" s="1"/>
  <c r="L317" i="1"/>
  <c r="L296" i="1"/>
  <c r="L341" i="1"/>
  <c r="L320" i="1"/>
  <c r="L299" i="1"/>
  <c r="L347" i="1"/>
  <c r="L326" i="1"/>
  <c r="L305" i="1"/>
  <c r="L350" i="1"/>
  <c r="L329" i="1"/>
  <c r="L308" i="1"/>
  <c r="L344" i="1"/>
  <c r="L323" i="1"/>
  <c r="L302" i="1"/>
  <c r="L335" i="1"/>
  <c r="L314" i="1"/>
  <c r="L293" i="1"/>
  <c r="L338" i="1"/>
  <c r="O339" i="1"/>
  <c r="O318" i="1"/>
  <c r="O297" i="1"/>
  <c r="O342" i="1"/>
  <c r="O321" i="1"/>
  <c r="O300" i="1"/>
  <c r="O348" i="1"/>
  <c r="O327" i="1"/>
  <c r="O306" i="1"/>
  <c r="O351" i="1"/>
  <c r="O330" i="1"/>
  <c r="O309" i="1"/>
  <c r="O345" i="1"/>
  <c r="O324" i="1"/>
  <c r="O303" i="1"/>
  <c r="O336" i="1"/>
  <c r="O315" i="1"/>
  <c r="O294" i="1"/>
  <c r="O354" i="1"/>
  <c r="O333" i="1"/>
  <c r="O312" i="1"/>
  <c r="L297" i="1"/>
  <c r="X297" i="1" s="1"/>
  <c r="L318" i="1"/>
  <c r="X318" i="1" s="1"/>
  <c r="L300" i="1"/>
  <c r="X300" i="1" s="1"/>
  <c r="L321" i="1"/>
  <c r="X321" i="1" s="1"/>
  <c r="L306" i="1"/>
  <c r="X306" i="1" s="1"/>
  <c r="L327" i="1"/>
  <c r="X327" i="1" s="1"/>
  <c r="L330" i="1"/>
  <c r="X330" i="1" s="1"/>
  <c r="L303" i="1"/>
  <c r="X303" i="1" s="1"/>
  <c r="L294" i="1"/>
  <c r="X294" i="1" s="1"/>
  <c r="C80" i="4"/>
  <c r="C75" i="4"/>
  <c r="D75" i="4" s="1"/>
  <c r="E75" i="4" s="1"/>
  <c r="C67" i="4"/>
  <c r="D67" i="4" s="1"/>
  <c r="E67" i="4" s="1"/>
  <c r="F67" i="4" s="1"/>
  <c r="G67" i="4" s="1"/>
  <c r="C59" i="4"/>
  <c r="D59" i="4" s="1"/>
  <c r="E59" i="4" s="1"/>
  <c r="F59" i="4" s="1"/>
  <c r="C69" i="4"/>
  <c r="D69" i="4" s="1"/>
  <c r="E69" i="4" s="1"/>
  <c r="C61" i="4"/>
  <c r="D61" i="4" s="1"/>
  <c r="E61" i="4" s="1"/>
  <c r="C77" i="4"/>
  <c r="C57" i="4"/>
  <c r="D57" i="4" s="1"/>
  <c r="E57" i="4" s="1"/>
  <c r="C73" i="4"/>
  <c r="D73" i="4" s="1"/>
  <c r="E73" i="4" s="1"/>
  <c r="C65" i="4"/>
  <c r="D65" i="4" s="1"/>
  <c r="E65" i="4" s="1"/>
  <c r="C79" i="4"/>
  <c r="D79" i="4" s="1"/>
  <c r="E79" i="4" s="1"/>
  <c r="C71" i="4"/>
  <c r="D71" i="4" s="1"/>
  <c r="E71" i="4" s="1"/>
  <c r="F71" i="4" s="1"/>
  <c r="C62" i="4"/>
  <c r="D62" i="4" s="1"/>
  <c r="C63" i="4"/>
  <c r="D63" i="4" s="1"/>
  <c r="E63" i="4" s="1"/>
  <c r="F63" i="4" s="1"/>
  <c r="C74" i="4"/>
  <c r="D74" i="4" s="1"/>
  <c r="C66" i="4"/>
  <c r="C58" i="4"/>
  <c r="C68" i="4"/>
  <c r="D68" i="4" s="1"/>
  <c r="C60" i="4"/>
  <c r="D60" i="4" s="1"/>
  <c r="C76" i="4"/>
  <c r="C56" i="4"/>
  <c r="D56" i="4" s="1"/>
  <c r="C72" i="4"/>
  <c r="D72" i="4" s="1"/>
  <c r="C64" i="4"/>
  <c r="D64" i="4" s="1"/>
  <c r="C78" i="4"/>
  <c r="D78" i="4" s="1"/>
  <c r="L339" i="1"/>
  <c r="X339" i="1" s="1"/>
  <c r="L342" i="1"/>
  <c r="X342" i="1" s="1"/>
  <c r="L348" i="1"/>
  <c r="X348" i="1" s="1"/>
  <c r="L351" i="1"/>
  <c r="X351" i="1" s="1"/>
  <c r="L309" i="1"/>
  <c r="X309" i="1" s="1"/>
  <c r="L333" i="1"/>
  <c r="X333" i="1" s="1"/>
  <c r="L324" i="1"/>
  <c r="X324" i="1" s="1"/>
  <c r="L315" i="1"/>
  <c r="X315" i="1" s="1"/>
  <c r="L354" i="1"/>
  <c r="X354" i="1" s="1"/>
  <c r="L345" i="1"/>
  <c r="X345" i="1" s="1"/>
  <c r="L336" i="1"/>
  <c r="X336" i="1" s="1"/>
  <c r="L312" i="1"/>
  <c r="X312" i="1" s="1"/>
  <c r="Y360" i="1"/>
  <c r="Y358" i="1"/>
  <c r="Y356" i="1"/>
  <c r="C39" i="8"/>
  <c r="D39" i="8" s="1"/>
  <c r="E39" i="8" s="1"/>
  <c r="C37" i="8"/>
  <c r="D37" i="8" s="1"/>
  <c r="E37" i="8" s="1"/>
  <c r="F37" i="8" s="1"/>
  <c r="Y359" i="1"/>
  <c r="Y357" i="1"/>
  <c r="Y355" i="1"/>
  <c r="C185" i="8"/>
  <c r="D185" i="8" s="1"/>
  <c r="E185" i="8" s="1"/>
  <c r="F185" i="8" s="1"/>
  <c r="C41" i="8"/>
  <c r="D41" i="8" s="1"/>
  <c r="E41" i="8" s="1"/>
  <c r="F41" i="8" s="1"/>
  <c r="C40" i="8"/>
  <c r="D40" i="8" s="1"/>
  <c r="E40" i="8" s="1"/>
  <c r="F40" i="8" s="1"/>
  <c r="G40" i="8" s="1"/>
  <c r="H40" i="8" s="1"/>
  <c r="I40" i="8" s="1"/>
  <c r="L356" i="1"/>
  <c r="L355" i="1"/>
  <c r="U835" i="1"/>
  <c r="U834" i="1"/>
  <c r="S835" i="1" s="1"/>
  <c r="U833" i="1"/>
  <c r="S834" i="1" s="1"/>
  <c r="U829" i="1"/>
  <c r="U828" i="1"/>
  <c r="S829" i="1" s="1"/>
  <c r="U827" i="1"/>
  <c r="S828" i="1" s="1"/>
  <c r="U823" i="1"/>
  <c r="U822" i="1"/>
  <c r="S823" i="1" s="1"/>
  <c r="U821" i="1"/>
  <c r="S822" i="1" s="1"/>
  <c r="U818" i="1"/>
  <c r="S819" i="1" s="1"/>
  <c r="U819" i="1"/>
  <c r="S820" i="1" s="1"/>
  <c r="U820" i="1"/>
  <c r="U824" i="1"/>
  <c r="S825" i="1" s="1"/>
  <c r="U825" i="1"/>
  <c r="S826" i="1" s="1"/>
  <c r="U831" i="1"/>
  <c r="S832" i="1" s="1"/>
  <c r="U832" i="1"/>
  <c r="U826" i="1"/>
  <c r="U830" i="1"/>
  <c r="S831" i="1" s="1"/>
  <c r="W609" i="1"/>
  <c r="W608" i="1"/>
  <c r="P609" i="1"/>
  <c r="P613" i="1"/>
  <c r="P610" i="1"/>
  <c r="P607" i="1"/>
  <c r="Y615" i="1"/>
  <c r="Y612" i="1"/>
  <c r="Y610" i="1"/>
  <c r="Y607" i="1"/>
  <c r="Y609" i="1"/>
  <c r="AE607" i="1"/>
  <c r="C38" i="8"/>
  <c r="D38" i="8" s="1"/>
  <c r="E38" i="8" s="1"/>
  <c r="C36" i="8"/>
  <c r="D36" i="8" s="1"/>
  <c r="E36" i="8" s="1"/>
  <c r="C144" i="8"/>
  <c r="D144" i="8" s="1"/>
  <c r="E144" i="8" s="1"/>
  <c r="F144" i="8" s="1"/>
  <c r="G144" i="8" s="1"/>
  <c r="H144" i="8" s="1"/>
  <c r="I144" i="8" s="1"/>
  <c r="J144" i="8" s="1"/>
  <c r="K144" i="8" s="1"/>
  <c r="L144" i="8" s="1"/>
  <c r="C142" i="8"/>
  <c r="D142" i="8" s="1"/>
  <c r="E142" i="8" s="1"/>
  <c r="C145" i="8"/>
  <c r="D145" i="8" s="1"/>
  <c r="E145" i="8" s="1"/>
  <c r="F145" i="8" s="1"/>
  <c r="G145" i="8" s="1"/>
  <c r="C140" i="8"/>
  <c r="C143" i="8"/>
  <c r="D143" i="8" s="1"/>
  <c r="E143" i="8" s="1"/>
  <c r="F143" i="8" s="1"/>
  <c r="G143" i="8" s="1"/>
  <c r="H143" i="8" s="1"/>
  <c r="C146" i="8"/>
  <c r="D146" i="8" s="1"/>
  <c r="E146" i="8" s="1"/>
  <c r="F146" i="8" s="1"/>
  <c r="G146" i="8" s="1"/>
  <c r="C141" i="8"/>
  <c r="D141" i="8" s="1"/>
  <c r="E141" i="8" s="1"/>
  <c r="F141" i="8" s="1"/>
  <c r="G141" i="8" s="1"/>
  <c r="C60" i="8"/>
  <c r="D60" i="8" s="1"/>
  <c r="E60" i="8" s="1"/>
  <c r="F60" i="8" s="1"/>
  <c r="G60" i="8" s="1"/>
  <c r="H60" i="8" s="1"/>
  <c r="I60" i="8" s="1"/>
  <c r="J60" i="8" s="1"/>
  <c r="K60" i="8" s="1"/>
  <c r="L60" i="8" s="1"/>
  <c r="M60" i="8" s="1"/>
  <c r="N60" i="8" s="1"/>
  <c r="O60" i="8" s="1"/>
  <c r="D140" i="8"/>
  <c r="E140" i="8" s="1"/>
  <c r="C61" i="8"/>
  <c r="D61" i="8" s="1"/>
  <c r="E61" i="8" s="1"/>
  <c r="F61" i="8" s="1"/>
  <c r="G61" i="8" s="1"/>
  <c r="H61" i="8" s="1"/>
  <c r="I61" i="8" s="1"/>
  <c r="J61" i="8" s="1"/>
  <c r="K61" i="8" s="1"/>
  <c r="L61" i="8" s="1"/>
  <c r="E98" i="30"/>
  <c r="E97" i="30"/>
  <c r="E96" i="30"/>
  <c r="E95" i="30"/>
  <c r="E94" i="30"/>
  <c r="E93" i="30"/>
  <c r="E92" i="30"/>
  <c r="E91" i="30"/>
  <c r="E90" i="30"/>
  <c r="E89" i="30"/>
  <c r="E88" i="30"/>
  <c r="E87" i="30"/>
  <c r="E86" i="30"/>
  <c r="E85" i="30"/>
  <c r="E84" i="30"/>
  <c r="E83" i="30"/>
  <c r="E82" i="30"/>
  <c r="E81" i="30"/>
  <c r="E80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E3" i="30"/>
  <c r="E2" i="30"/>
  <c r="L486" i="1"/>
  <c r="L673" i="1"/>
  <c r="L669" i="1"/>
  <c r="L665" i="1"/>
  <c r="L674" i="1"/>
  <c r="L670" i="1"/>
  <c r="L666" i="1"/>
  <c r="L671" i="1"/>
  <c r="L667" i="1"/>
  <c r="L663" i="1"/>
  <c r="L672" i="1"/>
  <c r="L668" i="1"/>
  <c r="L664" i="1"/>
  <c r="E832" i="1"/>
  <c r="E831" i="1"/>
  <c r="E826" i="1"/>
  <c r="E825" i="1"/>
  <c r="M831" i="1"/>
  <c r="M830" i="1"/>
  <c r="M824" i="1"/>
  <c r="M825" i="1"/>
  <c r="M832" i="1"/>
  <c r="M826" i="1"/>
  <c r="W85" i="1"/>
  <c r="W84" i="1"/>
  <c r="W83" i="1"/>
  <c r="V85" i="1"/>
  <c r="V84" i="1"/>
  <c r="V83" i="1"/>
  <c r="B85" i="1"/>
  <c r="B84" i="1"/>
  <c r="B83" i="1"/>
  <c r="Y85" i="1"/>
  <c r="Y84" i="1"/>
  <c r="Y83" i="1"/>
  <c r="T959" i="1"/>
  <c r="T947" i="1"/>
  <c r="T935" i="1"/>
  <c r="T934" i="1"/>
  <c r="T933" i="1"/>
  <c r="T956" i="1"/>
  <c r="T944" i="1"/>
  <c r="T932" i="1"/>
  <c r="T931" i="1"/>
  <c r="T930" i="1"/>
  <c r="T965" i="1"/>
  <c r="T953" i="1"/>
  <c r="T941" i="1"/>
  <c r="T940" i="1"/>
  <c r="T939" i="1"/>
  <c r="T962" i="1"/>
  <c r="T950" i="1"/>
  <c r="T938" i="1"/>
  <c r="T937" i="1"/>
  <c r="T936" i="1"/>
  <c r="W1058" i="1"/>
  <c r="W1060" i="1"/>
  <c r="W1056" i="1"/>
  <c r="W1062" i="1"/>
  <c r="W1066" i="1"/>
  <c r="W1068" i="1"/>
  <c r="W1064" i="1"/>
  <c r="W1070" i="1"/>
  <c r="W1050" i="1"/>
  <c r="W1052" i="1"/>
  <c r="W1048" i="1"/>
  <c r="W1054" i="1"/>
  <c r="W1063" i="1"/>
  <c r="W1057" i="1"/>
  <c r="W1059" i="1"/>
  <c r="W1055" i="1"/>
  <c r="W1061" i="1"/>
  <c r="W1065" i="1"/>
  <c r="W1067" i="1"/>
  <c r="W1069" i="1"/>
  <c r="W1049" i="1"/>
  <c r="W1051" i="1"/>
  <c r="W1047" i="1"/>
  <c r="W1053" i="1"/>
  <c r="W602" i="1"/>
  <c r="W598" i="1"/>
  <c r="W592" i="1"/>
  <c r="W588" i="1"/>
  <c r="W601" i="1"/>
  <c r="W591" i="1"/>
  <c r="W581" i="1"/>
  <c r="W577" i="1"/>
  <c r="W578" i="1"/>
  <c r="W582" i="1"/>
  <c r="W597" i="1"/>
  <c r="W587" i="1"/>
  <c r="C132" i="8"/>
  <c r="D132" i="8" s="1"/>
  <c r="E132" i="8" s="1"/>
  <c r="F132" i="8" s="1"/>
  <c r="C130" i="8"/>
  <c r="D130" i="8" s="1"/>
  <c r="E130" i="8" s="1"/>
  <c r="F130" i="8" s="1"/>
  <c r="G130" i="8" s="1"/>
  <c r="H130" i="8" s="1"/>
  <c r="I130" i="8" s="1"/>
  <c r="J130" i="8" s="1"/>
  <c r="K130" i="8" s="1"/>
  <c r="C128" i="8"/>
  <c r="C35" i="8"/>
  <c r="D35" i="8" s="1"/>
  <c r="E35" i="8" s="1"/>
  <c r="F35" i="8" s="1"/>
  <c r="G35" i="8" s="1"/>
  <c r="C131" i="8"/>
  <c r="D131" i="8" s="1"/>
  <c r="E131" i="8" s="1"/>
  <c r="F131" i="8" s="1"/>
  <c r="G131" i="8" s="1"/>
  <c r="H131" i="8" s="1"/>
  <c r="I131" i="8" s="1"/>
  <c r="J131" i="8" s="1"/>
  <c r="K131" i="8" s="1"/>
  <c r="C129" i="8"/>
  <c r="D129" i="8" s="1"/>
  <c r="E129" i="8" s="1"/>
  <c r="F129" i="8" s="1"/>
  <c r="W546" i="1"/>
  <c r="W544" i="1"/>
  <c r="W542" i="1"/>
  <c r="W545" i="1"/>
  <c r="W543" i="1"/>
  <c r="W491" i="1"/>
  <c r="W488" i="1"/>
  <c r="W496" i="1"/>
  <c r="W503" i="1"/>
  <c r="W147" i="1"/>
  <c r="W141" i="1"/>
  <c r="C151" i="4"/>
  <c r="D151" i="4" s="1"/>
  <c r="E151" i="4" s="1"/>
  <c r="C153" i="4"/>
  <c r="D153" i="4" s="1"/>
  <c r="E153" i="4" s="1"/>
  <c r="C152" i="4"/>
  <c r="D152" i="4" s="1"/>
  <c r="E152" i="4" s="1"/>
  <c r="C139" i="4"/>
  <c r="D139" i="4" s="1"/>
  <c r="E139" i="4" s="1"/>
  <c r="F139" i="4" s="1"/>
  <c r="G139" i="4" s="1"/>
  <c r="H139" i="4" s="1"/>
  <c r="I139" i="4" s="1"/>
  <c r="C140" i="4"/>
  <c r="D140" i="4" s="1"/>
  <c r="E140" i="4" s="1"/>
  <c r="F140" i="4" s="1"/>
  <c r="G140" i="4" s="1"/>
  <c r="H140" i="4" s="1"/>
  <c r="I140" i="4" s="1"/>
  <c r="J140" i="4" s="1"/>
  <c r="K140" i="4" s="1"/>
  <c r="L140" i="4" s="1"/>
  <c r="M140" i="4" s="1"/>
  <c r="N140" i="4" s="1"/>
  <c r="C154" i="4"/>
  <c r="D154" i="4" s="1"/>
  <c r="E154" i="4" s="1"/>
  <c r="F154" i="4" s="1"/>
  <c r="G154" i="4" s="1"/>
  <c r="H154" i="4" s="1"/>
  <c r="I154" i="4" s="1"/>
  <c r="J154" i="4" s="1"/>
  <c r="K154" i="4" s="1"/>
  <c r="L154" i="4" s="1"/>
  <c r="M154" i="4" s="1"/>
  <c r="C155" i="4"/>
  <c r="D155" i="4" s="1"/>
  <c r="E155" i="4" s="1"/>
  <c r="F155" i="4" s="1"/>
  <c r="G155" i="4" s="1"/>
  <c r="H155" i="4" s="1"/>
  <c r="I155" i="4" s="1"/>
  <c r="J155" i="4" s="1"/>
  <c r="K155" i="4" s="1"/>
  <c r="L155" i="4" s="1"/>
  <c r="M155" i="4" s="1"/>
  <c r="N155" i="4" s="1"/>
  <c r="C169" i="4"/>
  <c r="D169" i="4" s="1"/>
  <c r="E169" i="4" s="1"/>
  <c r="F169" i="4" s="1"/>
  <c r="G169" i="4" s="1"/>
  <c r="H169" i="4" s="1"/>
  <c r="I169" i="4" s="1"/>
  <c r="J169" i="4" s="1"/>
  <c r="K169" i="4" s="1"/>
  <c r="C170" i="4"/>
  <c r="D170" i="4" s="1"/>
  <c r="E170" i="4" s="1"/>
  <c r="F170" i="4" s="1"/>
  <c r="G170" i="4" s="1"/>
  <c r="H170" i="4" s="1"/>
  <c r="I170" i="4" s="1"/>
  <c r="J170" i="4" s="1"/>
  <c r="K170" i="4" s="1"/>
  <c r="C175" i="4"/>
  <c r="D175" i="4" s="1"/>
  <c r="E175" i="4" s="1"/>
  <c r="F175" i="4" s="1"/>
  <c r="C174" i="4"/>
  <c r="D174" i="4" s="1"/>
  <c r="E174" i="4" s="1"/>
  <c r="F174" i="4" s="1"/>
  <c r="G174" i="4" s="1"/>
  <c r="C160" i="4"/>
  <c r="D160" i="4" s="1"/>
  <c r="E160" i="4" s="1"/>
  <c r="F160" i="4" s="1"/>
  <c r="G160" i="4" s="1"/>
  <c r="H160" i="4" s="1"/>
  <c r="I160" i="4" s="1"/>
  <c r="J160" i="4" s="1"/>
  <c r="K160" i="4" s="1"/>
  <c r="C159" i="4"/>
  <c r="D159" i="4" s="1"/>
  <c r="E159" i="4" s="1"/>
  <c r="F159" i="4" s="1"/>
  <c r="G159" i="4" s="1"/>
  <c r="H159" i="4" s="1"/>
  <c r="I159" i="4" s="1"/>
  <c r="C145" i="4"/>
  <c r="D145" i="4" s="1"/>
  <c r="E145" i="4" s="1"/>
  <c r="F145" i="4" s="1"/>
  <c r="G145" i="4" s="1"/>
  <c r="H145" i="4" s="1"/>
  <c r="C144" i="4"/>
  <c r="D144" i="4" s="1"/>
  <c r="E144" i="4" s="1"/>
  <c r="F144" i="4" s="1"/>
  <c r="G144" i="4" s="1"/>
  <c r="H144" i="4" s="1"/>
  <c r="I144" i="4" s="1"/>
  <c r="C183" i="4"/>
  <c r="D183" i="4" s="1"/>
  <c r="E183" i="4" s="1"/>
  <c r="F183" i="4" s="1"/>
  <c r="G183" i="4" s="1"/>
  <c r="H183" i="4" s="1"/>
  <c r="C182" i="4"/>
  <c r="D182" i="4" s="1"/>
  <c r="E182" i="4" s="1"/>
  <c r="F182" i="4" s="1"/>
  <c r="G182" i="4" s="1"/>
  <c r="H182" i="4" s="1"/>
  <c r="I182" i="4" s="1"/>
  <c r="C168" i="4"/>
  <c r="D168" i="4" s="1"/>
  <c r="C167" i="4"/>
  <c r="D167" i="4" s="1"/>
  <c r="E167" i="4" s="1"/>
  <c r="F167" i="4" s="1"/>
  <c r="G167" i="4" s="1"/>
  <c r="H167" i="4" s="1"/>
  <c r="I167" i="4" s="1"/>
  <c r="J167" i="4" s="1"/>
  <c r="K167" i="4" s="1"/>
  <c r="C173" i="4"/>
  <c r="D173" i="4" s="1"/>
  <c r="C172" i="4"/>
  <c r="D172" i="4" s="1"/>
  <c r="E172" i="4" s="1"/>
  <c r="C171" i="4"/>
  <c r="D171" i="4" s="1"/>
  <c r="E171" i="4" s="1"/>
  <c r="F171" i="4" s="1"/>
  <c r="G171" i="4" s="1"/>
  <c r="C158" i="4"/>
  <c r="D158" i="4" s="1"/>
  <c r="E158" i="4" s="1"/>
  <c r="F158" i="4" s="1"/>
  <c r="G158" i="4" s="1"/>
  <c r="H158" i="4" s="1"/>
  <c r="I158" i="4" s="1"/>
  <c r="J158" i="4" s="1"/>
  <c r="K158" i="4" s="1"/>
  <c r="L158" i="4" s="1"/>
  <c r="M158" i="4" s="1"/>
  <c r="C157" i="4"/>
  <c r="D157" i="4" s="1"/>
  <c r="E157" i="4" s="1"/>
  <c r="C156" i="4"/>
  <c r="D156" i="4" s="1"/>
  <c r="E156" i="4" s="1"/>
  <c r="C143" i="4"/>
  <c r="D143" i="4" s="1"/>
  <c r="E143" i="4" s="1"/>
  <c r="F143" i="4" s="1"/>
  <c r="G143" i="4" s="1"/>
  <c r="C142" i="4"/>
  <c r="D142" i="4" s="1"/>
  <c r="E142" i="4" s="1"/>
  <c r="C141" i="4"/>
  <c r="D141" i="4" s="1"/>
  <c r="E141" i="4" s="1"/>
  <c r="F141" i="4" s="1"/>
  <c r="G141" i="4" s="1"/>
  <c r="H141" i="4" s="1"/>
  <c r="I141" i="4" s="1"/>
  <c r="C181" i="4"/>
  <c r="D181" i="4" s="1"/>
  <c r="E181" i="4" s="1"/>
  <c r="F181" i="4" s="1"/>
  <c r="G181" i="4" s="1"/>
  <c r="H181" i="4" s="1"/>
  <c r="I181" i="4" s="1"/>
  <c r="J181" i="4" s="1"/>
  <c r="C180" i="4"/>
  <c r="D180" i="4" s="1"/>
  <c r="E180" i="4" s="1"/>
  <c r="F180" i="4" s="1"/>
  <c r="G180" i="4" s="1"/>
  <c r="H180" i="4" s="1"/>
  <c r="I180" i="4" s="1"/>
  <c r="C179" i="4"/>
  <c r="D179" i="4" s="1"/>
  <c r="E179" i="4" s="1"/>
  <c r="F179" i="4" s="1"/>
  <c r="G179" i="4" s="1"/>
  <c r="H179" i="4" s="1"/>
  <c r="I179" i="4" s="1"/>
  <c r="C178" i="4"/>
  <c r="D178" i="4" s="1"/>
  <c r="E178" i="4" s="1"/>
  <c r="F178" i="4" s="1"/>
  <c r="G178" i="4" s="1"/>
  <c r="H178" i="4" s="1"/>
  <c r="I178" i="4" s="1"/>
  <c r="J178" i="4" s="1"/>
  <c r="C177" i="4"/>
  <c r="D177" i="4" s="1"/>
  <c r="E177" i="4" s="1"/>
  <c r="F177" i="4" s="1"/>
  <c r="G177" i="4" s="1"/>
  <c r="H177" i="4" s="1"/>
  <c r="I177" i="4" s="1"/>
  <c r="J177" i="4" s="1"/>
  <c r="C176" i="4"/>
  <c r="D176" i="4" s="1"/>
  <c r="E176" i="4" s="1"/>
  <c r="F176" i="4" s="1"/>
  <c r="G176" i="4" s="1"/>
  <c r="H176" i="4" s="1"/>
  <c r="I176" i="4" s="1"/>
  <c r="J176" i="4" s="1"/>
  <c r="K176" i="4" s="1"/>
  <c r="C166" i="4"/>
  <c r="D166" i="4" s="1"/>
  <c r="E166" i="4" s="1"/>
  <c r="F166" i="4" s="1"/>
  <c r="G166" i="4" s="1"/>
  <c r="H166" i="4" s="1"/>
  <c r="I166" i="4" s="1"/>
  <c r="J166" i="4" s="1"/>
  <c r="K166" i="4" s="1"/>
  <c r="C165" i="4"/>
  <c r="D165" i="4" s="1"/>
  <c r="E165" i="4" s="1"/>
  <c r="F165" i="4" s="1"/>
  <c r="G165" i="4" s="1"/>
  <c r="H165" i="4" s="1"/>
  <c r="I165" i="4" s="1"/>
  <c r="J165" i="4" s="1"/>
  <c r="K165" i="4" s="1"/>
  <c r="L165" i="4" s="1"/>
  <c r="M165" i="4" s="1"/>
  <c r="C164" i="4"/>
  <c r="D164" i="4" s="1"/>
  <c r="E164" i="4" s="1"/>
  <c r="F164" i="4" s="1"/>
  <c r="G164" i="4" s="1"/>
  <c r="H164" i="4" s="1"/>
  <c r="I164" i="4" s="1"/>
  <c r="J164" i="4" s="1"/>
  <c r="K164" i="4" s="1"/>
  <c r="L164" i="4" s="1"/>
  <c r="C163" i="4"/>
  <c r="D163" i="4" s="1"/>
  <c r="E163" i="4" s="1"/>
  <c r="F163" i="4" s="1"/>
  <c r="G163" i="4" s="1"/>
  <c r="H163" i="4" s="1"/>
  <c r="I163" i="4" s="1"/>
  <c r="C162" i="4"/>
  <c r="D162" i="4" s="1"/>
  <c r="E162" i="4" s="1"/>
  <c r="F162" i="4" s="1"/>
  <c r="G162" i="4" s="1"/>
  <c r="H162" i="4" s="1"/>
  <c r="I162" i="4" s="1"/>
  <c r="J162" i="4" s="1"/>
  <c r="K162" i="4" s="1"/>
  <c r="L162" i="4" s="1"/>
  <c r="M162" i="4" s="1"/>
  <c r="C161" i="4"/>
  <c r="D161" i="4" s="1"/>
  <c r="E161" i="4" s="1"/>
  <c r="F161" i="4" s="1"/>
  <c r="G161" i="4" s="1"/>
  <c r="H161" i="4" s="1"/>
  <c r="I161" i="4" s="1"/>
  <c r="J161" i="4" s="1"/>
  <c r="K161" i="4" s="1"/>
  <c r="L161" i="4" s="1"/>
  <c r="M161" i="4" s="1"/>
  <c r="C150" i="4"/>
  <c r="D150" i="4" s="1"/>
  <c r="E150" i="4" s="1"/>
  <c r="F150" i="4" s="1"/>
  <c r="G150" i="4" s="1"/>
  <c r="H150" i="4" s="1"/>
  <c r="I150" i="4" s="1"/>
  <c r="C149" i="4"/>
  <c r="D149" i="4" s="1"/>
  <c r="E149" i="4" s="1"/>
  <c r="F149" i="4" s="1"/>
  <c r="G149" i="4" s="1"/>
  <c r="H149" i="4" s="1"/>
  <c r="I149" i="4" s="1"/>
  <c r="C148" i="4"/>
  <c r="D148" i="4" s="1"/>
  <c r="E148" i="4" s="1"/>
  <c r="F148" i="4" s="1"/>
  <c r="G148" i="4" s="1"/>
  <c r="H148" i="4" s="1"/>
  <c r="I148" i="4" s="1"/>
  <c r="C147" i="4"/>
  <c r="D147" i="4" s="1"/>
  <c r="E147" i="4" s="1"/>
  <c r="F147" i="4" s="1"/>
  <c r="G147" i="4" s="1"/>
  <c r="H147" i="4" s="1"/>
  <c r="I147" i="4" s="1"/>
  <c r="J147" i="4" s="1"/>
  <c r="C146" i="4"/>
  <c r="D146" i="4" s="1"/>
  <c r="E146" i="4" s="1"/>
  <c r="F146" i="4" s="1"/>
  <c r="G146" i="4" s="1"/>
  <c r="H146" i="4" s="1"/>
  <c r="I146" i="4" s="1"/>
  <c r="J146" i="4" s="1"/>
  <c r="C192" i="4"/>
  <c r="D192" i="4" s="1"/>
  <c r="C184" i="4"/>
  <c r="D184" i="4" s="1"/>
  <c r="E184" i="4" s="1"/>
  <c r="F184" i="4" s="1"/>
  <c r="G184" i="4" s="1"/>
  <c r="H184" i="4" s="1"/>
  <c r="I184" i="4" s="1"/>
  <c r="J184" i="4" s="1"/>
  <c r="K184" i="4" s="1"/>
  <c r="L184" i="4" s="1"/>
  <c r="M184" i="4" s="1"/>
  <c r="N184" i="4" s="1"/>
  <c r="C186" i="4"/>
  <c r="D186" i="4" s="1"/>
  <c r="E186" i="4" s="1"/>
  <c r="F186" i="4" s="1"/>
  <c r="G186" i="4" s="1"/>
  <c r="H186" i="4" s="1"/>
  <c r="I186" i="4" s="1"/>
  <c r="J186" i="4" s="1"/>
  <c r="K186" i="4" s="1"/>
  <c r="L186" i="4" s="1"/>
  <c r="M186" i="4" s="1"/>
  <c r="N186" i="4" s="1"/>
  <c r="C187" i="4"/>
  <c r="D187" i="4" s="1"/>
  <c r="E187" i="4" s="1"/>
  <c r="F187" i="4" s="1"/>
  <c r="G187" i="4" s="1"/>
  <c r="H187" i="4" s="1"/>
  <c r="I187" i="4" s="1"/>
  <c r="J187" i="4" s="1"/>
  <c r="K187" i="4" s="1"/>
  <c r="L187" i="4" s="1"/>
  <c r="C185" i="4"/>
  <c r="D185" i="4" s="1"/>
  <c r="E185" i="4" s="1"/>
  <c r="F185" i="4" s="1"/>
  <c r="C149" i="8"/>
  <c r="D149" i="8" s="1"/>
  <c r="E149" i="8" s="1"/>
  <c r="F149" i="8" s="1"/>
  <c r="G149" i="8" s="1"/>
  <c r="C150" i="8"/>
  <c r="D150" i="8" s="1"/>
  <c r="C148" i="8"/>
  <c r="C147" i="8"/>
  <c r="D147" i="8" s="1"/>
  <c r="E147" i="8" s="1"/>
  <c r="Y449" i="1"/>
  <c r="Y448" i="1"/>
  <c r="Y447" i="1"/>
  <c r="Y415" i="1"/>
  <c r="Y413" i="1"/>
  <c r="Y414" i="1"/>
  <c r="C76" i="8"/>
  <c r="D76" i="8" s="1"/>
  <c r="E76" i="8" s="1"/>
  <c r="F76" i="8" s="1"/>
  <c r="G76" i="8" s="1"/>
  <c r="H76" i="8" s="1"/>
  <c r="I76" i="8" s="1"/>
  <c r="J76" i="8" s="1"/>
  <c r="K76" i="8" s="1"/>
  <c r="L76" i="8" s="1"/>
  <c r="M76" i="8" s="1"/>
  <c r="N76" i="8" s="1"/>
  <c r="O76" i="8" s="1"/>
  <c r="P76" i="8" s="1"/>
  <c r="Q76" i="8" s="1"/>
  <c r="C75" i="8"/>
  <c r="D75" i="8" s="1"/>
  <c r="E75" i="8" s="1"/>
  <c r="F75" i="8" s="1"/>
  <c r="G75" i="8" s="1"/>
  <c r="H75" i="8" s="1"/>
  <c r="I75" i="8" s="1"/>
  <c r="J75" i="8" s="1"/>
  <c r="K75" i="8" s="1"/>
  <c r="L75" i="8" s="1"/>
  <c r="M75" i="8" s="1"/>
  <c r="N75" i="8" s="1"/>
  <c r="O75" i="8" s="1"/>
  <c r="P75" i="8" s="1"/>
  <c r="Q75" i="8" s="1"/>
  <c r="C74" i="8"/>
  <c r="D74" i="8" s="1"/>
  <c r="E74" i="8" s="1"/>
  <c r="F74" i="8" s="1"/>
  <c r="G74" i="8" s="1"/>
  <c r="H74" i="8" s="1"/>
  <c r="I74" i="8" s="1"/>
  <c r="J74" i="8" s="1"/>
  <c r="K74" i="8" s="1"/>
  <c r="L74" i="8" s="1"/>
  <c r="M74" i="8" s="1"/>
  <c r="N74" i="8" s="1"/>
  <c r="O74" i="8" s="1"/>
  <c r="P74" i="8" s="1"/>
  <c r="Q74" i="8" s="1"/>
  <c r="C73" i="8"/>
  <c r="D73" i="8" s="1"/>
  <c r="E73" i="8" s="1"/>
  <c r="F73" i="8" s="1"/>
  <c r="G73" i="8" s="1"/>
  <c r="H73" i="8" s="1"/>
  <c r="I73" i="8" s="1"/>
  <c r="J73" i="8" s="1"/>
  <c r="K73" i="8" s="1"/>
  <c r="L73" i="8" s="1"/>
  <c r="M73" i="8" s="1"/>
  <c r="N73" i="8" s="1"/>
  <c r="O73" i="8" s="1"/>
  <c r="P73" i="8" s="1"/>
  <c r="Q73" i="8" s="1"/>
  <c r="C72" i="8"/>
  <c r="D72" i="8" s="1"/>
  <c r="E72" i="8" s="1"/>
  <c r="F72" i="8" s="1"/>
  <c r="G72" i="8" s="1"/>
  <c r="C64" i="8"/>
  <c r="D64" i="8" s="1"/>
  <c r="E64" i="8" s="1"/>
  <c r="F64" i="8" s="1"/>
  <c r="G64" i="8" s="1"/>
  <c r="H64" i="8" s="1"/>
  <c r="I64" i="8" s="1"/>
  <c r="J64" i="8" s="1"/>
  <c r="K64" i="8" s="1"/>
  <c r="L64" i="8" s="1"/>
  <c r="M64" i="8" s="1"/>
  <c r="N64" i="8" s="1"/>
  <c r="O64" i="8" s="1"/>
  <c r="P64" i="8" s="1"/>
  <c r="Q64" i="8" s="1"/>
  <c r="R64" i="8" s="1"/>
  <c r="S64" i="8" s="1"/>
  <c r="T64" i="8" s="1"/>
  <c r="U64" i="8" s="1"/>
  <c r="V64" i="8" s="1"/>
  <c r="W64" i="8" s="1"/>
  <c r="X64" i="8" s="1"/>
  <c r="Y64" i="8" s="1"/>
  <c r="Z64" i="8" s="1"/>
  <c r="AA64" i="8" s="1"/>
  <c r="AB64" i="8" s="1"/>
  <c r="AC64" i="8" s="1"/>
  <c r="AD64" i="8" s="1"/>
  <c r="AE64" i="8" s="1"/>
  <c r="AF64" i="8" s="1"/>
  <c r="AG64" i="8" s="1"/>
  <c r="AH64" i="8" s="1"/>
  <c r="AI64" i="8" s="1"/>
  <c r="AJ64" i="8" s="1"/>
  <c r="AK64" i="8" s="1"/>
  <c r="C63" i="8"/>
  <c r="D63" i="8" s="1"/>
  <c r="E63" i="8" s="1"/>
  <c r="F63" i="8" s="1"/>
  <c r="G63" i="8" s="1"/>
  <c r="H63" i="8" s="1"/>
  <c r="I63" i="8" s="1"/>
  <c r="J63" i="8" s="1"/>
  <c r="K63" i="8" s="1"/>
  <c r="L63" i="8" s="1"/>
  <c r="M63" i="8" s="1"/>
  <c r="N63" i="8" s="1"/>
  <c r="O63" i="8" s="1"/>
  <c r="P63" i="8" s="1"/>
  <c r="Q63" i="8" s="1"/>
  <c r="C62" i="8"/>
  <c r="D62" i="8" s="1"/>
  <c r="E62" i="8" s="1"/>
  <c r="F62" i="8" s="1"/>
  <c r="G62" i="8" s="1"/>
  <c r="C65" i="8"/>
  <c r="D65" i="8" s="1"/>
  <c r="E65" i="8" s="1"/>
  <c r="F65" i="8" s="1"/>
  <c r="G65" i="8" s="1"/>
  <c r="H65" i="8" s="1"/>
  <c r="I65" i="8" s="1"/>
  <c r="J65" i="8" s="1"/>
  <c r="K65" i="8" s="1"/>
  <c r="L65" i="8" s="1"/>
  <c r="M65" i="8" s="1"/>
  <c r="N65" i="8" s="1"/>
  <c r="O65" i="8" s="1"/>
  <c r="P65" i="8" s="1"/>
  <c r="Q65" i="8" s="1"/>
  <c r="R65" i="8" s="1"/>
  <c r="S65" i="8" s="1"/>
  <c r="T65" i="8" s="1"/>
  <c r="U65" i="8" s="1"/>
  <c r="V65" i="8" s="1"/>
  <c r="W65" i="8" s="1"/>
  <c r="X65" i="8" s="1"/>
  <c r="Y65" i="8" s="1"/>
  <c r="Z65" i="8" s="1"/>
  <c r="AA65" i="8" s="1"/>
  <c r="AB65" i="8" s="1"/>
  <c r="AC65" i="8" s="1"/>
  <c r="AD65" i="8" s="1"/>
  <c r="AE65" i="8" s="1"/>
  <c r="AF65" i="8" s="1"/>
  <c r="AG65" i="8" s="1"/>
  <c r="AH65" i="8" s="1"/>
  <c r="AI65" i="8" s="1"/>
  <c r="AJ65" i="8" s="1"/>
  <c r="AK65" i="8" s="1"/>
  <c r="C66" i="8"/>
  <c r="D66" i="8" s="1"/>
  <c r="E66" i="8" s="1"/>
  <c r="F66" i="8" s="1"/>
  <c r="G66" i="8" s="1"/>
  <c r="H66" i="8" s="1"/>
  <c r="I66" i="8" s="1"/>
  <c r="J66" i="8" s="1"/>
  <c r="K66" i="8" s="1"/>
  <c r="L66" i="8" s="1"/>
  <c r="M66" i="8" s="1"/>
  <c r="N66" i="8" s="1"/>
  <c r="O66" i="8" s="1"/>
  <c r="P66" i="8" s="1"/>
  <c r="Q66" i="8" s="1"/>
  <c r="R66" i="8" s="1"/>
  <c r="S66" i="8" s="1"/>
  <c r="T66" i="8" s="1"/>
  <c r="U66" i="8" s="1"/>
  <c r="V66" i="8" s="1"/>
  <c r="W66" i="8" s="1"/>
  <c r="X66" i="8" s="1"/>
  <c r="Y66" i="8" s="1"/>
  <c r="Z66" i="8" s="1"/>
  <c r="AA66" i="8" s="1"/>
  <c r="AB66" i="8" s="1"/>
  <c r="AC66" i="8" s="1"/>
  <c r="AD66" i="8" s="1"/>
  <c r="AE66" i="8" s="1"/>
  <c r="AF66" i="8" s="1"/>
  <c r="AG66" i="8" s="1"/>
  <c r="AH66" i="8" s="1"/>
  <c r="AI66" i="8" s="1"/>
  <c r="AJ66" i="8" s="1"/>
  <c r="AK66" i="8" s="1"/>
  <c r="C127" i="8"/>
  <c r="D127" i="8" s="1"/>
  <c r="E127" i="8" s="1"/>
  <c r="F127" i="8" s="1"/>
  <c r="C19" i="7"/>
  <c r="D19" i="7" s="1"/>
  <c r="E19" i="7" s="1"/>
  <c r="F19" i="7" s="1"/>
  <c r="G19" i="7" s="1"/>
  <c r="H19" i="7" s="1"/>
  <c r="I19" i="7" s="1"/>
  <c r="J19" i="7" s="1"/>
  <c r="K19" i="7" s="1"/>
  <c r="L19" i="7" s="1"/>
  <c r="M19" i="7" s="1"/>
  <c r="N19" i="7" s="1"/>
  <c r="O19" i="7" s="1"/>
  <c r="P19" i="7" s="1"/>
  <c r="Q19" i="7" s="1"/>
  <c r="R19" i="7" s="1"/>
  <c r="S19" i="7" s="1"/>
  <c r="T19" i="7" s="1"/>
  <c r="U19" i="7" s="1"/>
  <c r="V19" i="7" s="1"/>
  <c r="W19" i="7" s="1"/>
  <c r="X19" i="7" s="1"/>
  <c r="Y19" i="7" s="1"/>
  <c r="Z19" i="7" s="1"/>
  <c r="AA19" i="7" s="1"/>
  <c r="AB19" i="7" s="1"/>
  <c r="AC19" i="7" s="1"/>
  <c r="AD19" i="7" s="1"/>
  <c r="AE19" i="7" s="1"/>
  <c r="AF19" i="7" s="1"/>
  <c r="AG19" i="7" s="1"/>
  <c r="AH19" i="7" s="1"/>
  <c r="AI19" i="7" s="1"/>
  <c r="AJ19" i="7" s="1"/>
  <c r="A19" i="7"/>
  <c r="C18" i="7"/>
  <c r="D18" i="7" s="1"/>
  <c r="E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Z18" i="7" s="1"/>
  <c r="AA18" i="7" s="1"/>
  <c r="AB18" i="7" s="1"/>
  <c r="AC18" i="7" s="1"/>
  <c r="AD18" i="7" s="1"/>
  <c r="AE18" i="7" s="1"/>
  <c r="AF18" i="7" s="1"/>
  <c r="AG18" i="7" s="1"/>
  <c r="AH18" i="7" s="1"/>
  <c r="AI18" i="7" s="1"/>
  <c r="AJ18" i="7" s="1"/>
  <c r="A18" i="7"/>
  <c r="C17" i="7"/>
  <c r="D17" i="7" s="1"/>
  <c r="E17" i="7" s="1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P17" i="7" s="1"/>
  <c r="Q17" i="7" s="1"/>
  <c r="R17" i="7" s="1"/>
  <c r="S17" i="7" s="1"/>
  <c r="T17" i="7" s="1"/>
  <c r="U17" i="7" s="1"/>
  <c r="V17" i="7" s="1"/>
  <c r="W17" i="7" s="1"/>
  <c r="X17" i="7" s="1"/>
  <c r="Y17" i="7" s="1"/>
  <c r="Z17" i="7" s="1"/>
  <c r="AA17" i="7" s="1"/>
  <c r="AB17" i="7" s="1"/>
  <c r="AC17" i="7" s="1"/>
  <c r="AD17" i="7" s="1"/>
  <c r="AE17" i="7" s="1"/>
  <c r="AF17" i="7" s="1"/>
  <c r="AG17" i="7" s="1"/>
  <c r="AH17" i="7" s="1"/>
  <c r="AI17" i="7" s="1"/>
  <c r="AJ17" i="7" s="1"/>
  <c r="A17" i="7"/>
  <c r="C16" i="7"/>
  <c r="D16" i="7" s="1"/>
  <c r="E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AB16" i="7" s="1"/>
  <c r="AC16" i="7" s="1"/>
  <c r="AD16" i="7" s="1"/>
  <c r="AE16" i="7" s="1"/>
  <c r="AF16" i="7" s="1"/>
  <c r="AG16" i="7" s="1"/>
  <c r="AH16" i="7" s="1"/>
  <c r="AI16" i="7" s="1"/>
  <c r="AJ16" i="7" s="1"/>
  <c r="A16" i="7"/>
  <c r="D15" i="7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X15" i="7" s="1"/>
  <c r="Y15" i="7" s="1"/>
  <c r="Z15" i="7" s="1"/>
  <c r="AA15" i="7" s="1"/>
  <c r="AB15" i="7" s="1"/>
  <c r="AC15" i="7" s="1"/>
  <c r="AD15" i="7" s="1"/>
  <c r="AE15" i="7" s="1"/>
  <c r="AF15" i="7" s="1"/>
  <c r="AG15" i="7" s="1"/>
  <c r="AH15" i="7" s="1"/>
  <c r="AI15" i="7" s="1"/>
  <c r="AJ15" i="7" s="1"/>
  <c r="C15" i="7"/>
  <c r="A15" i="7"/>
  <c r="C9" i="7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 s="1"/>
  <c r="Y9" i="7" s="1"/>
  <c r="Z9" i="7" s="1"/>
  <c r="AA9" i="7" s="1"/>
  <c r="AB9" i="7" s="1"/>
  <c r="AC9" i="7" s="1"/>
  <c r="AD9" i="7" s="1"/>
  <c r="AE9" i="7" s="1"/>
  <c r="AF9" i="7" s="1"/>
  <c r="AG9" i="7" s="1"/>
  <c r="AH9" i="7" s="1"/>
  <c r="AI9" i="7" s="1"/>
  <c r="AJ9" i="7" s="1"/>
  <c r="A9" i="7"/>
  <c r="C8" i="7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AI8" i="7" s="1"/>
  <c r="AJ8" i="7" s="1"/>
  <c r="A8" i="7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7" i="7"/>
  <c r="C6" i="7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6" i="7"/>
  <c r="D5" i="7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AJ5" i="7" s="1"/>
  <c r="C5" i="7"/>
  <c r="A5" i="7"/>
  <c r="Y471" i="1"/>
  <c r="Y469" i="1"/>
  <c r="Y467" i="1"/>
  <c r="Y465" i="1"/>
  <c r="Y463" i="1"/>
  <c r="Y456" i="1"/>
  <c r="Y455" i="1"/>
  <c r="Y454" i="1"/>
  <c r="Y453" i="1"/>
  <c r="Y452" i="1"/>
  <c r="C23" i="7"/>
  <c r="D23" i="7" s="1"/>
  <c r="E23" i="7" s="1"/>
  <c r="F23" i="7" s="1"/>
  <c r="G23" i="7" s="1"/>
  <c r="H23" i="7" s="1"/>
  <c r="I23" i="7" s="1"/>
  <c r="J23" i="7" s="1"/>
  <c r="K23" i="7" s="1"/>
  <c r="L23" i="7" s="1"/>
  <c r="M23" i="7" s="1"/>
  <c r="N23" i="7" s="1"/>
  <c r="O23" i="7" s="1"/>
  <c r="P23" i="7" s="1"/>
  <c r="Q23" i="7" s="1"/>
  <c r="R23" i="7" s="1"/>
  <c r="S23" i="7" s="1"/>
  <c r="T23" i="7" s="1"/>
  <c r="U23" i="7" s="1"/>
  <c r="V23" i="7" s="1"/>
  <c r="W23" i="7" s="1"/>
  <c r="X23" i="7" s="1"/>
  <c r="Y23" i="7" s="1"/>
  <c r="Z23" i="7" s="1"/>
  <c r="AA23" i="7" s="1"/>
  <c r="AB23" i="7" s="1"/>
  <c r="AC23" i="7" s="1"/>
  <c r="AD23" i="7" s="1"/>
  <c r="AE23" i="7" s="1"/>
  <c r="AF23" i="7" s="1"/>
  <c r="AG23" i="7" s="1"/>
  <c r="AH23" i="7" s="1"/>
  <c r="AI23" i="7" s="1"/>
  <c r="AJ23" i="7" s="1"/>
  <c r="AE610" i="1"/>
  <c r="Y614" i="1"/>
  <c r="Y613" i="1"/>
  <c r="P911" i="1"/>
  <c r="P894" i="1"/>
  <c r="P877" i="1"/>
  <c r="P909" i="1"/>
  <c r="P892" i="1"/>
  <c r="P875" i="1"/>
  <c r="V733" i="1"/>
  <c r="P733" i="1"/>
  <c r="W437" i="1"/>
  <c r="P437" i="1"/>
  <c r="P427" i="1"/>
  <c r="W417" i="1"/>
  <c r="P417" i="1"/>
  <c r="P414" i="1"/>
  <c r="V416" i="1"/>
  <c r="P416" i="1"/>
  <c r="X416" i="1"/>
  <c r="C70" i="4"/>
  <c r="D70" i="4" s="1"/>
  <c r="C202" i="4"/>
  <c r="C198" i="4"/>
  <c r="D198" i="4" s="1"/>
  <c r="E198" i="4" s="1"/>
  <c r="F198" i="4" s="1"/>
  <c r="G198" i="4" s="1"/>
  <c r="H198" i="4" s="1"/>
  <c r="I198" i="4" s="1"/>
  <c r="J198" i="4" s="1"/>
  <c r="K198" i="4" s="1"/>
  <c r="L198" i="4" s="1"/>
  <c r="M198" i="4" s="1"/>
  <c r="N198" i="4" s="1"/>
  <c r="C194" i="4"/>
  <c r="D194" i="4" s="1"/>
  <c r="C201" i="4"/>
  <c r="D201" i="4" s="1"/>
  <c r="E201" i="4" s="1"/>
  <c r="F201" i="4" s="1"/>
  <c r="C197" i="4"/>
  <c r="D197" i="4" s="1"/>
  <c r="E197" i="4" s="1"/>
  <c r="F197" i="4" s="1"/>
  <c r="G197" i="4" s="1"/>
  <c r="H197" i="4" s="1"/>
  <c r="I197" i="4" s="1"/>
  <c r="J197" i="4" s="1"/>
  <c r="K197" i="4" s="1"/>
  <c r="L197" i="4" s="1"/>
  <c r="M197" i="4" s="1"/>
  <c r="N197" i="4" s="1"/>
  <c r="C193" i="4"/>
  <c r="C200" i="4"/>
  <c r="D200" i="4" s="1"/>
  <c r="E200" i="4" s="1"/>
  <c r="F200" i="4" s="1"/>
  <c r="G200" i="4" s="1"/>
  <c r="H200" i="4" s="1"/>
  <c r="I200" i="4" s="1"/>
  <c r="J200" i="4" s="1"/>
  <c r="K200" i="4" s="1"/>
  <c r="L200" i="4" s="1"/>
  <c r="M200" i="4" s="1"/>
  <c r="N200" i="4" s="1"/>
  <c r="C199" i="4"/>
  <c r="D199" i="4" s="1"/>
  <c r="E199" i="4" s="1"/>
  <c r="F199" i="4" s="1"/>
  <c r="G199" i="4" s="1"/>
  <c r="H199" i="4" s="1"/>
  <c r="C196" i="4"/>
  <c r="D196" i="4" s="1"/>
  <c r="E196" i="4" s="1"/>
  <c r="F196" i="4" s="1"/>
  <c r="G196" i="4" s="1"/>
  <c r="H196" i="4" s="1"/>
  <c r="I196" i="4" s="1"/>
  <c r="J196" i="4" s="1"/>
  <c r="K196" i="4" s="1"/>
  <c r="L196" i="4" s="1"/>
  <c r="M196" i="4" s="1"/>
  <c r="C195" i="4"/>
  <c r="D195" i="4" s="1"/>
  <c r="E195" i="4" s="1"/>
  <c r="F195" i="4" s="1"/>
  <c r="G195" i="4" s="1"/>
  <c r="H195" i="4" s="1"/>
  <c r="I195" i="4" s="1"/>
  <c r="C191" i="4"/>
  <c r="C190" i="4"/>
  <c r="D190" i="4" s="1"/>
  <c r="E190" i="4" s="1"/>
  <c r="F190" i="4" s="1"/>
  <c r="G190" i="4" s="1"/>
  <c r="H190" i="4" s="1"/>
  <c r="I190" i="4" s="1"/>
  <c r="J190" i="4" s="1"/>
  <c r="K190" i="4" s="1"/>
  <c r="L190" i="4" s="1"/>
  <c r="M190" i="4" s="1"/>
  <c r="N190" i="4" s="1"/>
  <c r="C189" i="4"/>
  <c r="C188" i="4"/>
  <c r="C138" i="4"/>
  <c r="D138" i="4" s="1"/>
  <c r="E138" i="4" s="1"/>
  <c r="F138" i="4" s="1"/>
  <c r="G138" i="4" s="1"/>
  <c r="H138" i="4" s="1"/>
  <c r="I138" i="4" s="1"/>
  <c r="J138" i="4" s="1"/>
  <c r="K138" i="4" s="1"/>
  <c r="L138" i="4" s="1"/>
  <c r="M138" i="4" s="1"/>
  <c r="N138" i="4" s="1"/>
  <c r="C137" i="4"/>
  <c r="D137" i="4" s="1"/>
  <c r="E137" i="4" s="1"/>
  <c r="F137" i="4" s="1"/>
  <c r="G137" i="4" s="1"/>
  <c r="H137" i="4" s="1"/>
  <c r="I137" i="4" s="1"/>
  <c r="J137" i="4" s="1"/>
  <c r="K137" i="4" s="1"/>
  <c r="L137" i="4" s="1"/>
  <c r="M137" i="4" s="1"/>
  <c r="N137" i="4" s="1"/>
  <c r="C136" i="4"/>
  <c r="D136" i="4" s="1"/>
  <c r="E136" i="4" s="1"/>
  <c r="F136" i="4" s="1"/>
  <c r="G136" i="4" s="1"/>
  <c r="H136" i="4" s="1"/>
  <c r="I136" i="4" s="1"/>
  <c r="J136" i="4" s="1"/>
  <c r="K136" i="4" s="1"/>
  <c r="L136" i="4" s="1"/>
  <c r="M136" i="4" s="1"/>
  <c r="N136" i="4" s="1"/>
  <c r="C135" i="4"/>
  <c r="D135" i="4" s="1"/>
  <c r="E135" i="4" s="1"/>
  <c r="F135" i="4" s="1"/>
  <c r="G135" i="4" s="1"/>
  <c r="H135" i="4" s="1"/>
  <c r="I135" i="4" s="1"/>
  <c r="J135" i="4" s="1"/>
  <c r="K135" i="4" s="1"/>
  <c r="L135" i="4" s="1"/>
  <c r="M135" i="4" s="1"/>
  <c r="N135" i="4" s="1"/>
  <c r="C134" i="4"/>
  <c r="D134" i="4" s="1"/>
  <c r="E134" i="4" s="1"/>
  <c r="F134" i="4" s="1"/>
  <c r="G134" i="4" s="1"/>
  <c r="H134" i="4" s="1"/>
  <c r="I134" i="4" s="1"/>
  <c r="J134" i="4" s="1"/>
  <c r="K134" i="4" s="1"/>
  <c r="L134" i="4" s="1"/>
  <c r="M134" i="4" s="1"/>
  <c r="N134" i="4" s="1"/>
  <c r="C133" i="4"/>
  <c r="D133" i="4" s="1"/>
  <c r="E133" i="4" s="1"/>
  <c r="F133" i="4" s="1"/>
  <c r="G133" i="4" s="1"/>
  <c r="H133" i="4" s="1"/>
  <c r="I133" i="4" s="1"/>
  <c r="J133" i="4" s="1"/>
  <c r="K133" i="4" s="1"/>
  <c r="L133" i="4" s="1"/>
  <c r="M133" i="4" s="1"/>
  <c r="N133" i="4" s="1"/>
  <c r="C132" i="4"/>
  <c r="C131" i="4"/>
  <c r="C130" i="4"/>
  <c r="C111" i="4"/>
  <c r="C113" i="4"/>
  <c r="D113" i="4" s="1"/>
  <c r="E113" i="4" s="1"/>
  <c r="F113" i="4" s="1"/>
  <c r="G113" i="4" s="1"/>
  <c r="H113" i="4" s="1"/>
  <c r="I113" i="4" s="1"/>
  <c r="J113" i="4" s="1"/>
  <c r="K113" i="4" s="1"/>
  <c r="L113" i="4" s="1"/>
  <c r="M113" i="4" s="1"/>
  <c r="N113" i="4" s="1"/>
  <c r="C112" i="4"/>
  <c r="D112" i="4" s="1"/>
  <c r="E112" i="4" s="1"/>
  <c r="F112" i="4" s="1"/>
  <c r="G112" i="4" s="1"/>
  <c r="H112" i="4" s="1"/>
  <c r="I112" i="4" s="1"/>
  <c r="J112" i="4" s="1"/>
  <c r="K112" i="4" s="1"/>
  <c r="L112" i="4" s="1"/>
  <c r="M112" i="4" s="1"/>
  <c r="N112" i="4" s="1"/>
  <c r="C110" i="4"/>
  <c r="C109" i="4"/>
  <c r="D109" i="4" s="1"/>
  <c r="C108" i="4"/>
  <c r="D108" i="4" s="1"/>
  <c r="C107" i="4"/>
  <c r="D107" i="4" s="1"/>
  <c r="C106" i="4"/>
  <c r="D106" i="4" s="1"/>
  <c r="C105" i="4"/>
  <c r="D105" i="4" s="1"/>
  <c r="C104" i="4"/>
  <c r="D104" i="4" s="1"/>
  <c r="C103" i="4"/>
  <c r="D103" i="4" s="1"/>
  <c r="C102" i="4"/>
  <c r="D102" i="4" s="1"/>
  <c r="C101" i="4"/>
  <c r="D101" i="4" s="1"/>
  <c r="C100" i="4"/>
  <c r="D100" i="4" s="1"/>
  <c r="C99" i="4"/>
  <c r="D99" i="4" s="1"/>
  <c r="E99" i="4" s="1"/>
  <c r="F99" i="4" s="1"/>
  <c r="G99" i="4" s="1"/>
  <c r="H99" i="4" s="1"/>
  <c r="I99" i="4" s="1"/>
  <c r="J99" i="4" s="1"/>
  <c r="K99" i="4" s="1"/>
  <c r="L99" i="4" s="1"/>
  <c r="M99" i="4" s="1"/>
  <c r="N99" i="4" s="1"/>
  <c r="C98" i="4"/>
  <c r="D98" i="4" s="1"/>
  <c r="E98" i="4" s="1"/>
  <c r="F98" i="4" s="1"/>
  <c r="G98" i="4" s="1"/>
  <c r="H98" i="4" s="1"/>
  <c r="I98" i="4" s="1"/>
  <c r="J98" i="4" s="1"/>
  <c r="K98" i="4" s="1"/>
  <c r="L98" i="4" s="1"/>
  <c r="M98" i="4" s="1"/>
  <c r="N98" i="4" s="1"/>
  <c r="C97" i="4"/>
  <c r="D97" i="4" s="1"/>
  <c r="E97" i="4" s="1"/>
  <c r="F97" i="4" s="1"/>
  <c r="G97" i="4" s="1"/>
  <c r="H97" i="4" s="1"/>
  <c r="I97" i="4" s="1"/>
  <c r="J97" i="4" s="1"/>
  <c r="K97" i="4" s="1"/>
  <c r="L97" i="4" s="1"/>
  <c r="M97" i="4" s="1"/>
  <c r="N97" i="4" s="1"/>
  <c r="C96" i="4"/>
  <c r="D96" i="4" s="1"/>
  <c r="E96" i="4" s="1"/>
  <c r="F96" i="4" s="1"/>
  <c r="G96" i="4" s="1"/>
  <c r="H96" i="4" s="1"/>
  <c r="I96" i="4" s="1"/>
  <c r="J96" i="4" s="1"/>
  <c r="K96" i="4" s="1"/>
  <c r="L96" i="4" s="1"/>
  <c r="M96" i="4" s="1"/>
  <c r="N96" i="4" s="1"/>
  <c r="C95" i="4"/>
  <c r="C94" i="4"/>
  <c r="C93" i="4"/>
  <c r="D93" i="4" s="1"/>
  <c r="E93" i="4" s="1"/>
  <c r="F93" i="4" s="1"/>
  <c r="G93" i="4" s="1"/>
  <c r="H93" i="4" s="1"/>
  <c r="I93" i="4" s="1"/>
  <c r="J93" i="4" s="1"/>
  <c r="K93" i="4" s="1"/>
  <c r="L93" i="4" s="1"/>
  <c r="M93" i="4" s="1"/>
  <c r="N93" i="4" s="1"/>
  <c r="C92" i="4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C91" i="4"/>
  <c r="D91" i="4" s="1"/>
  <c r="E91" i="4" s="1"/>
  <c r="F91" i="4" s="1"/>
  <c r="G91" i="4" s="1"/>
  <c r="H91" i="4" s="1"/>
  <c r="I91" i="4" s="1"/>
  <c r="J91" i="4" s="1"/>
  <c r="K91" i="4" s="1"/>
  <c r="L91" i="4" s="1"/>
  <c r="M91" i="4" s="1"/>
  <c r="N91" i="4" s="1"/>
  <c r="C90" i="4"/>
  <c r="D90" i="4" s="1"/>
  <c r="C89" i="4"/>
  <c r="D89" i="4" s="1"/>
  <c r="C88" i="4"/>
  <c r="D88" i="4" s="1"/>
  <c r="C87" i="4"/>
  <c r="C86" i="4"/>
  <c r="D86" i="4" s="1"/>
  <c r="C55" i="4"/>
  <c r="D55" i="4" s="1"/>
  <c r="E55" i="4" s="1"/>
  <c r="F55" i="4" s="1"/>
  <c r="G55" i="4" s="1"/>
  <c r="H55" i="4" s="1"/>
  <c r="I55" i="4" s="1"/>
  <c r="J55" i="4" s="1"/>
  <c r="K55" i="4" s="1"/>
  <c r="L55" i="4" s="1"/>
  <c r="M55" i="4" s="1"/>
  <c r="N55" i="4" s="1"/>
  <c r="C51" i="4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C47" i="4"/>
  <c r="C54" i="4"/>
  <c r="D54" i="4" s="1"/>
  <c r="E54" i="4" s="1"/>
  <c r="F54" i="4" s="1"/>
  <c r="G54" i="4" s="1"/>
  <c r="H54" i="4" s="1"/>
  <c r="I54" i="4" s="1"/>
  <c r="J54" i="4" s="1"/>
  <c r="K54" i="4" s="1"/>
  <c r="L54" i="4" s="1"/>
  <c r="M54" i="4" s="1"/>
  <c r="N54" i="4" s="1"/>
  <c r="C53" i="4"/>
  <c r="D53" i="4" s="1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C52" i="4"/>
  <c r="D52" i="4" s="1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C50" i="4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C49" i="4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C48" i="4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C46" i="4"/>
  <c r="C45" i="4"/>
  <c r="C44" i="4"/>
  <c r="C13" i="4"/>
  <c r="D13" i="4" s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C12" i="4"/>
  <c r="D12" i="4" s="1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C9" i="4"/>
  <c r="D9" i="4" s="1"/>
  <c r="E9" i="4" s="1"/>
  <c r="F9" i="4" s="1"/>
  <c r="G9" i="4" s="1"/>
  <c r="H9" i="4" s="1"/>
  <c r="I9" i="4" s="1"/>
  <c r="J9" i="4" s="1"/>
  <c r="K9" i="4" s="1"/>
  <c r="L9" i="4" s="1"/>
  <c r="M9" i="4" s="1"/>
  <c r="N9" i="4" s="1"/>
  <c r="C8" i="4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C5" i="4"/>
  <c r="C4" i="4"/>
  <c r="C11" i="4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C10" i="4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C7" i="4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C3" i="4"/>
  <c r="C2" i="4"/>
  <c r="P148" i="1"/>
  <c r="P147" i="1"/>
  <c r="P142" i="1"/>
  <c r="P141" i="1"/>
  <c r="C77" i="8"/>
  <c r="D77" i="8" s="1"/>
  <c r="E77" i="8" s="1"/>
  <c r="F77" i="8" s="1"/>
  <c r="G77" i="8" s="1"/>
  <c r="C78" i="8"/>
  <c r="D78" i="8" s="1"/>
  <c r="E78" i="8" s="1"/>
  <c r="F78" i="8" s="1"/>
  <c r="G78" i="8" s="1"/>
  <c r="H78" i="8" s="1"/>
  <c r="I78" i="8" s="1"/>
  <c r="C70" i="8"/>
  <c r="D70" i="8" s="1"/>
  <c r="E70" i="8" s="1"/>
  <c r="F70" i="8" s="1"/>
  <c r="G70" i="8" s="1"/>
  <c r="H70" i="8" s="1"/>
  <c r="I70" i="8" s="1"/>
  <c r="C68" i="8"/>
  <c r="D68" i="8" s="1"/>
  <c r="E68" i="8" s="1"/>
  <c r="F68" i="8" s="1"/>
  <c r="G68" i="8" s="1"/>
  <c r="H68" i="8" s="1"/>
  <c r="I68" i="8" s="1"/>
  <c r="C67" i="8"/>
  <c r="D67" i="8" s="1"/>
  <c r="E67" i="8" s="1"/>
  <c r="F67" i="8" s="1"/>
  <c r="G67" i="8" s="1"/>
  <c r="H67" i="8" s="1"/>
  <c r="I67" i="8" s="1"/>
  <c r="C69" i="8"/>
  <c r="D69" i="8" s="1"/>
  <c r="E69" i="8" s="1"/>
  <c r="F69" i="8" s="1"/>
  <c r="G69" i="8" s="1"/>
  <c r="H69" i="8" s="1"/>
  <c r="I69" i="8" s="1"/>
  <c r="C21" i="7"/>
  <c r="D21" i="7" s="1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X21" i="7" s="1"/>
  <c r="Y21" i="7" s="1"/>
  <c r="Z21" i="7" s="1"/>
  <c r="AA21" i="7" s="1"/>
  <c r="AB21" i="7" s="1"/>
  <c r="AC21" i="7" s="1"/>
  <c r="AD21" i="7" s="1"/>
  <c r="AE21" i="7" s="1"/>
  <c r="AF21" i="7" s="1"/>
  <c r="AG21" i="7" s="1"/>
  <c r="AH21" i="7" s="1"/>
  <c r="AI21" i="7" s="1"/>
  <c r="AJ21" i="7" s="1"/>
  <c r="C20" i="7"/>
  <c r="D20" i="7" s="1"/>
  <c r="E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V20" i="7" s="1"/>
  <c r="W20" i="7" s="1"/>
  <c r="X20" i="7" s="1"/>
  <c r="Y20" i="7" s="1"/>
  <c r="Z20" i="7" s="1"/>
  <c r="AA20" i="7" s="1"/>
  <c r="AB20" i="7" s="1"/>
  <c r="AC20" i="7" s="1"/>
  <c r="AD20" i="7" s="1"/>
  <c r="AE20" i="7" s="1"/>
  <c r="AF20" i="7" s="1"/>
  <c r="AG20" i="7" s="1"/>
  <c r="AH20" i="7" s="1"/>
  <c r="AI20" i="7" s="1"/>
  <c r="AJ20" i="7" s="1"/>
  <c r="C12" i="7"/>
  <c r="D12" i="7" s="1"/>
  <c r="E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AF12" i="7" s="1"/>
  <c r="AG12" i="7" s="1"/>
  <c r="AH12" i="7" s="1"/>
  <c r="AI12" i="7" s="1"/>
  <c r="AJ12" i="7" s="1"/>
  <c r="C11" i="7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AC11" i="7" s="1"/>
  <c r="AD11" i="7" s="1"/>
  <c r="AE11" i="7" s="1"/>
  <c r="AF11" i="7" s="1"/>
  <c r="AG11" i="7" s="1"/>
  <c r="AH11" i="7" s="1"/>
  <c r="AI11" i="7" s="1"/>
  <c r="AJ11" i="7" s="1"/>
  <c r="C13" i="7"/>
  <c r="D13" i="7" s="1"/>
  <c r="E13" i="7" s="1"/>
  <c r="F13" i="7" s="1"/>
  <c r="G13" i="7" s="1"/>
  <c r="H13" i="7" s="1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AB13" i="7" s="1"/>
  <c r="AC13" i="7" s="1"/>
  <c r="AD13" i="7" s="1"/>
  <c r="AE13" i="7" s="1"/>
  <c r="AF13" i="7" s="1"/>
  <c r="AG13" i="7" s="1"/>
  <c r="AH13" i="7" s="1"/>
  <c r="AI13" i="7" s="1"/>
  <c r="AJ13" i="7" s="1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L22" i="8"/>
  <c r="C22" i="8"/>
  <c r="D22" i="8" s="1"/>
  <c r="E22" i="8" s="1"/>
  <c r="F22" i="8" s="1"/>
  <c r="G22" i="8" s="1"/>
  <c r="H22" i="8" s="1"/>
  <c r="I22" i="8" s="1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Y22" i="8" s="1"/>
  <c r="Z22" i="8" s="1"/>
  <c r="AA22" i="8" s="1"/>
  <c r="AB22" i="8" s="1"/>
  <c r="AC22" i="8" s="1"/>
  <c r="AD22" i="8" s="1"/>
  <c r="AE22" i="8" s="1"/>
  <c r="AF22" i="8" s="1"/>
  <c r="AG22" i="8" s="1"/>
  <c r="AH22" i="8" s="1"/>
  <c r="AI22" i="8" s="1"/>
  <c r="AJ22" i="8" s="1"/>
  <c r="AK22" i="8" s="1"/>
  <c r="C23" i="8"/>
  <c r="D23" i="8" s="1"/>
  <c r="E23" i="8" s="1"/>
  <c r="F23" i="8" s="1"/>
  <c r="G23" i="8" s="1"/>
  <c r="H23" i="8" s="1"/>
  <c r="I23" i="8" s="1"/>
  <c r="J23" i="8" s="1"/>
  <c r="K23" i="8" s="1"/>
  <c r="L23" i="8" s="1"/>
  <c r="M23" i="8" s="1"/>
  <c r="N23" i="8" s="1"/>
  <c r="O23" i="8" s="1"/>
  <c r="P23" i="8" s="1"/>
  <c r="Q23" i="8" s="1"/>
  <c r="R23" i="8" s="1"/>
  <c r="S23" i="8" s="1"/>
  <c r="T23" i="8" s="1"/>
  <c r="U23" i="8" s="1"/>
  <c r="V23" i="8" s="1"/>
  <c r="W23" i="8" s="1"/>
  <c r="X23" i="8" s="1"/>
  <c r="Y23" i="8" s="1"/>
  <c r="Z23" i="8" s="1"/>
  <c r="AA23" i="8" s="1"/>
  <c r="AB23" i="8" s="1"/>
  <c r="AC23" i="8" s="1"/>
  <c r="AD23" i="8" s="1"/>
  <c r="AE23" i="8" s="1"/>
  <c r="AF23" i="8" s="1"/>
  <c r="AG23" i="8" s="1"/>
  <c r="AH23" i="8" s="1"/>
  <c r="AI23" i="8" s="1"/>
  <c r="AJ23" i="8" s="1"/>
  <c r="AK23" i="8" s="1"/>
  <c r="C21" i="8"/>
  <c r="D21" i="8" s="1"/>
  <c r="E21" i="8" s="1"/>
  <c r="F21" i="8" s="1"/>
  <c r="G21" i="8" s="1"/>
  <c r="H21" i="8" s="1"/>
  <c r="I21" i="8" s="1"/>
  <c r="J21" i="8" s="1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U21" i="8" s="1"/>
  <c r="V21" i="8" s="1"/>
  <c r="W21" i="8" s="1"/>
  <c r="X21" i="8" s="1"/>
  <c r="Y21" i="8" s="1"/>
  <c r="Z21" i="8" s="1"/>
  <c r="AA21" i="8" s="1"/>
  <c r="AB21" i="8" s="1"/>
  <c r="AC21" i="8" s="1"/>
  <c r="AD21" i="8" s="1"/>
  <c r="AE21" i="8" s="1"/>
  <c r="AF21" i="8" s="1"/>
  <c r="AG21" i="8" s="1"/>
  <c r="AH21" i="8" s="1"/>
  <c r="AI21" i="8" s="1"/>
  <c r="AJ21" i="8" s="1"/>
  <c r="AK21" i="8" s="1"/>
  <c r="C166" i="8"/>
  <c r="D166" i="8" s="1"/>
  <c r="E166" i="8" s="1"/>
  <c r="F166" i="8" s="1"/>
  <c r="G166" i="8" s="1"/>
  <c r="H166" i="8" s="1"/>
  <c r="I166" i="8" s="1"/>
  <c r="J166" i="8" s="1"/>
  <c r="K166" i="8" s="1"/>
  <c r="L166" i="8" s="1"/>
  <c r="M166" i="8" s="1"/>
  <c r="N166" i="8" s="1"/>
  <c r="O166" i="8" s="1"/>
  <c r="P166" i="8" s="1"/>
  <c r="Q166" i="8" s="1"/>
  <c r="R166" i="8" s="1"/>
  <c r="S166" i="8" s="1"/>
  <c r="T166" i="8" s="1"/>
  <c r="U166" i="8" s="1"/>
  <c r="V166" i="8" s="1"/>
  <c r="W166" i="8" s="1"/>
  <c r="X166" i="8" s="1"/>
  <c r="Y166" i="8" s="1"/>
  <c r="Z166" i="8" s="1"/>
  <c r="AA166" i="8" s="1"/>
  <c r="AB166" i="8" s="1"/>
  <c r="AC166" i="8" s="1"/>
  <c r="AD166" i="8" s="1"/>
  <c r="AE166" i="8" s="1"/>
  <c r="AF166" i="8" s="1"/>
  <c r="AG166" i="8" s="1"/>
  <c r="AH166" i="8" s="1"/>
  <c r="AI166" i="8" s="1"/>
  <c r="AJ166" i="8" s="1"/>
  <c r="AK166" i="8" s="1"/>
  <c r="C165" i="8"/>
  <c r="D165" i="8" s="1"/>
  <c r="E165" i="8" s="1"/>
  <c r="F165" i="8" s="1"/>
  <c r="G165" i="8" s="1"/>
  <c r="H165" i="8" s="1"/>
  <c r="I165" i="8" s="1"/>
  <c r="J165" i="8" s="1"/>
  <c r="K165" i="8" s="1"/>
  <c r="L165" i="8" s="1"/>
  <c r="M165" i="8" s="1"/>
  <c r="N165" i="8" s="1"/>
  <c r="O165" i="8" s="1"/>
  <c r="P165" i="8" s="1"/>
  <c r="Q165" i="8" s="1"/>
  <c r="R165" i="8" s="1"/>
  <c r="S165" i="8" s="1"/>
  <c r="T165" i="8" s="1"/>
  <c r="U165" i="8" s="1"/>
  <c r="V165" i="8" s="1"/>
  <c r="W165" i="8" s="1"/>
  <c r="X165" i="8" s="1"/>
  <c r="Y165" i="8" s="1"/>
  <c r="Z165" i="8" s="1"/>
  <c r="AA165" i="8" s="1"/>
  <c r="AB165" i="8" s="1"/>
  <c r="AC165" i="8" s="1"/>
  <c r="AD165" i="8" s="1"/>
  <c r="AE165" i="8" s="1"/>
  <c r="AF165" i="8" s="1"/>
  <c r="AG165" i="8" s="1"/>
  <c r="AH165" i="8" s="1"/>
  <c r="AI165" i="8" s="1"/>
  <c r="AJ165" i="8" s="1"/>
  <c r="AK165" i="8" s="1"/>
  <c r="C164" i="8"/>
  <c r="D164" i="8" s="1"/>
  <c r="E164" i="8" s="1"/>
  <c r="F164" i="8" s="1"/>
  <c r="G164" i="8" s="1"/>
  <c r="H164" i="8" s="1"/>
  <c r="I164" i="8" s="1"/>
  <c r="J164" i="8" s="1"/>
  <c r="K164" i="8" s="1"/>
  <c r="L164" i="8" s="1"/>
  <c r="M164" i="8" s="1"/>
  <c r="N164" i="8" s="1"/>
  <c r="O164" i="8" s="1"/>
  <c r="P164" i="8" s="1"/>
  <c r="Q164" i="8" s="1"/>
  <c r="R164" i="8" s="1"/>
  <c r="S164" i="8" s="1"/>
  <c r="T164" i="8" s="1"/>
  <c r="U164" i="8" s="1"/>
  <c r="V164" i="8" s="1"/>
  <c r="W164" i="8" s="1"/>
  <c r="X164" i="8" s="1"/>
  <c r="Y164" i="8" s="1"/>
  <c r="Z164" i="8" s="1"/>
  <c r="AA164" i="8" s="1"/>
  <c r="AB164" i="8" s="1"/>
  <c r="AC164" i="8" s="1"/>
  <c r="AD164" i="8" s="1"/>
  <c r="AE164" i="8" s="1"/>
  <c r="AF164" i="8" s="1"/>
  <c r="AG164" i="8" s="1"/>
  <c r="AH164" i="8" s="1"/>
  <c r="AI164" i="8" s="1"/>
  <c r="AJ164" i="8" s="1"/>
  <c r="AK164" i="8" s="1"/>
  <c r="C163" i="8"/>
  <c r="D163" i="8" s="1"/>
  <c r="E163" i="8" s="1"/>
  <c r="F163" i="8" s="1"/>
  <c r="G163" i="8" s="1"/>
  <c r="H163" i="8" s="1"/>
  <c r="I163" i="8" s="1"/>
  <c r="J163" i="8" s="1"/>
  <c r="K163" i="8" s="1"/>
  <c r="L163" i="8" s="1"/>
  <c r="M163" i="8" s="1"/>
  <c r="N163" i="8" s="1"/>
  <c r="O163" i="8" s="1"/>
  <c r="P163" i="8" s="1"/>
  <c r="Q163" i="8" s="1"/>
  <c r="R163" i="8" s="1"/>
  <c r="S163" i="8" s="1"/>
  <c r="T163" i="8" s="1"/>
  <c r="U163" i="8" s="1"/>
  <c r="V163" i="8" s="1"/>
  <c r="W163" i="8" s="1"/>
  <c r="X163" i="8" s="1"/>
  <c r="Y163" i="8" s="1"/>
  <c r="Z163" i="8" s="1"/>
  <c r="AA163" i="8" s="1"/>
  <c r="AB163" i="8" s="1"/>
  <c r="AC163" i="8" s="1"/>
  <c r="AD163" i="8" s="1"/>
  <c r="AE163" i="8" s="1"/>
  <c r="AF163" i="8" s="1"/>
  <c r="AG163" i="8" s="1"/>
  <c r="AH163" i="8" s="1"/>
  <c r="AI163" i="8" s="1"/>
  <c r="AJ163" i="8" s="1"/>
  <c r="AK163" i="8" s="1"/>
  <c r="C162" i="8"/>
  <c r="D162" i="8" s="1"/>
  <c r="E162" i="8" s="1"/>
  <c r="F162" i="8" s="1"/>
  <c r="G162" i="8" s="1"/>
  <c r="H162" i="8" s="1"/>
  <c r="I162" i="8" s="1"/>
  <c r="J162" i="8" s="1"/>
  <c r="K162" i="8" s="1"/>
  <c r="L162" i="8" s="1"/>
  <c r="M162" i="8" s="1"/>
  <c r="N162" i="8" s="1"/>
  <c r="O162" i="8" s="1"/>
  <c r="P162" i="8" s="1"/>
  <c r="Q162" i="8" s="1"/>
  <c r="R162" i="8" s="1"/>
  <c r="S162" i="8" s="1"/>
  <c r="T162" i="8" s="1"/>
  <c r="U162" i="8" s="1"/>
  <c r="V162" i="8" s="1"/>
  <c r="W162" i="8" s="1"/>
  <c r="X162" i="8" s="1"/>
  <c r="Y162" i="8" s="1"/>
  <c r="Z162" i="8" s="1"/>
  <c r="AA162" i="8" s="1"/>
  <c r="AB162" i="8" s="1"/>
  <c r="AC162" i="8" s="1"/>
  <c r="AD162" i="8" s="1"/>
  <c r="AE162" i="8" s="1"/>
  <c r="AF162" i="8" s="1"/>
  <c r="AG162" i="8" s="1"/>
  <c r="AH162" i="8" s="1"/>
  <c r="AI162" i="8" s="1"/>
  <c r="AJ162" i="8" s="1"/>
  <c r="AK162" i="8" s="1"/>
  <c r="C97" i="8"/>
  <c r="D97" i="8" s="1"/>
  <c r="E97" i="8" s="1"/>
  <c r="F97" i="8" s="1"/>
  <c r="G97" i="8" s="1"/>
  <c r="H97" i="8" s="1"/>
  <c r="I97" i="8" s="1"/>
  <c r="J97" i="8" s="1"/>
  <c r="K97" i="8" s="1"/>
  <c r="L97" i="8" s="1"/>
  <c r="M97" i="8" s="1"/>
  <c r="N97" i="8" s="1"/>
  <c r="O97" i="8" s="1"/>
  <c r="P97" i="8" s="1"/>
  <c r="Q97" i="8" s="1"/>
  <c r="R97" i="8" s="1"/>
  <c r="S97" i="8" s="1"/>
  <c r="T97" i="8" s="1"/>
  <c r="U97" i="8" s="1"/>
  <c r="V97" i="8" s="1"/>
  <c r="W97" i="8" s="1"/>
  <c r="X97" i="8" s="1"/>
  <c r="Y97" i="8" s="1"/>
  <c r="Z97" i="8" s="1"/>
  <c r="AA97" i="8" s="1"/>
  <c r="AB97" i="8" s="1"/>
  <c r="AC97" i="8" s="1"/>
  <c r="AD97" i="8" s="1"/>
  <c r="AE97" i="8" s="1"/>
  <c r="AF97" i="8" s="1"/>
  <c r="AG97" i="8" s="1"/>
  <c r="AH97" i="8" s="1"/>
  <c r="AI97" i="8" s="1"/>
  <c r="AJ97" i="8" s="1"/>
  <c r="AK97" i="8" s="1"/>
  <c r="C96" i="8"/>
  <c r="D96" i="8" s="1"/>
  <c r="E96" i="8" s="1"/>
  <c r="F96" i="8" s="1"/>
  <c r="G96" i="8" s="1"/>
  <c r="H96" i="8" s="1"/>
  <c r="I96" i="8" s="1"/>
  <c r="J96" i="8" s="1"/>
  <c r="K96" i="8" s="1"/>
  <c r="L96" i="8" s="1"/>
  <c r="M96" i="8" s="1"/>
  <c r="N96" i="8" s="1"/>
  <c r="O96" i="8" s="1"/>
  <c r="P96" i="8" s="1"/>
  <c r="Q96" i="8" s="1"/>
  <c r="R96" i="8" s="1"/>
  <c r="S96" i="8" s="1"/>
  <c r="T96" i="8" s="1"/>
  <c r="U96" i="8" s="1"/>
  <c r="V96" i="8" s="1"/>
  <c r="W96" i="8" s="1"/>
  <c r="X96" i="8" s="1"/>
  <c r="Y96" i="8" s="1"/>
  <c r="Z96" i="8" s="1"/>
  <c r="AA96" i="8" s="1"/>
  <c r="AB96" i="8" s="1"/>
  <c r="AC96" i="8" s="1"/>
  <c r="AD96" i="8" s="1"/>
  <c r="AE96" i="8" s="1"/>
  <c r="AF96" i="8" s="1"/>
  <c r="AG96" i="8" s="1"/>
  <c r="AH96" i="8" s="1"/>
  <c r="AI96" i="8" s="1"/>
  <c r="AJ96" i="8" s="1"/>
  <c r="AK96" i="8" s="1"/>
  <c r="C95" i="8"/>
  <c r="D95" i="8" s="1"/>
  <c r="E95" i="8" s="1"/>
  <c r="F95" i="8" s="1"/>
  <c r="G95" i="8" s="1"/>
  <c r="H95" i="8" s="1"/>
  <c r="I95" i="8" s="1"/>
  <c r="J95" i="8" s="1"/>
  <c r="K95" i="8" s="1"/>
  <c r="L95" i="8" s="1"/>
  <c r="M95" i="8" s="1"/>
  <c r="N95" i="8" s="1"/>
  <c r="O95" i="8" s="1"/>
  <c r="P95" i="8" s="1"/>
  <c r="Q95" i="8" s="1"/>
  <c r="R95" i="8" s="1"/>
  <c r="S95" i="8" s="1"/>
  <c r="T95" i="8" s="1"/>
  <c r="U95" i="8" s="1"/>
  <c r="V95" i="8" s="1"/>
  <c r="W95" i="8" s="1"/>
  <c r="X95" i="8" s="1"/>
  <c r="Y95" i="8" s="1"/>
  <c r="Z95" i="8" s="1"/>
  <c r="AA95" i="8" s="1"/>
  <c r="AB95" i="8" s="1"/>
  <c r="AC95" i="8" s="1"/>
  <c r="AD95" i="8" s="1"/>
  <c r="AE95" i="8" s="1"/>
  <c r="AF95" i="8" s="1"/>
  <c r="AG95" i="8" s="1"/>
  <c r="AH95" i="8" s="1"/>
  <c r="AI95" i="8" s="1"/>
  <c r="AJ95" i="8" s="1"/>
  <c r="AK95" i="8" s="1"/>
  <c r="C184" i="8"/>
  <c r="D184" i="8" s="1"/>
  <c r="E184" i="8" s="1"/>
  <c r="F184" i="8" s="1"/>
  <c r="G184" i="8" s="1"/>
  <c r="H184" i="8" s="1"/>
  <c r="I184" i="8" s="1"/>
  <c r="J184" i="8" s="1"/>
  <c r="K184" i="8" s="1"/>
  <c r="L184" i="8" s="1"/>
  <c r="M184" i="8" s="1"/>
  <c r="N184" i="8" s="1"/>
  <c r="O184" i="8" s="1"/>
  <c r="P184" i="8" s="1"/>
  <c r="Q184" i="8" s="1"/>
  <c r="R184" i="8" s="1"/>
  <c r="S184" i="8" s="1"/>
  <c r="T184" i="8" s="1"/>
  <c r="U184" i="8" s="1"/>
  <c r="V184" i="8" s="1"/>
  <c r="W184" i="8" s="1"/>
  <c r="X184" i="8" s="1"/>
  <c r="Y184" i="8" s="1"/>
  <c r="Z184" i="8" s="1"/>
  <c r="AA184" i="8" s="1"/>
  <c r="AB184" i="8" s="1"/>
  <c r="AC184" i="8" s="1"/>
  <c r="AD184" i="8" s="1"/>
  <c r="AE184" i="8" s="1"/>
  <c r="AF184" i="8" s="1"/>
  <c r="AG184" i="8" s="1"/>
  <c r="AH184" i="8" s="1"/>
  <c r="AI184" i="8" s="1"/>
  <c r="AJ184" i="8" s="1"/>
  <c r="AK184" i="8" s="1"/>
  <c r="C183" i="8"/>
  <c r="D183" i="8" s="1"/>
  <c r="E183" i="8" s="1"/>
  <c r="F183" i="8" s="1"/>
  <c r="G183" i="8" s="1"/>
  <c r="H183" i="8" s="1"/>
  <c r="I183" i="8" s="1"/>
  <c r="J183" i="8" s="1"/>
  <c r="K183" i="8" s="1"/>
  <c r="L183" i="8" s="1"/>
  <c r="M183" i="8" s="1"/>
  <c r="N183" i="8" s="1"/>
  <c r="O183" i="8" s="1"/>
  <c r="P183" i="8" s="1"/>
  <c r="Q183" i="8" s="1"/>
  <c r="R183" i="8" s="1"/>
  <c r="S183" i="8" s="1"/>
  <c r="T183" i="8" s="1"/>
  <c r="U183" i="8" s="1"/>
  <c r="V183" i="8" s="1"/>
  <c r="W183" i="8" s="1"/>
  <c r="X183" i="8" s="1"/>
  <c r="Y183" i="8" s="1"/>
  <c r="Z183" i="8" s="1"/>
  <c r="AA183" i="8" s="1"/>
  <c r="AB183" i="8" s="1"/>
  <c r="AC183" i="8" s="1"/>
  <c r="AD183" i="8" s="1"/>
  <c r="AE183" i="8" s="1"/>
  <c r="AF183" i="8" s="1"/>
  <c r="AG183" i="8" s="1"/>
  <c r="AH183" i="8" s="1"/>
  <c r="AI183" i="8" s="1"/>
  <c r="AJ183" i="8" s="1"/>
  <c r="AK183" i="8" s="1"/>
  <c r="C182" i="8"/>
  <c r="D182" i="8" s="1"/>
  <c r="E182" i="8" s="1"/>
  <c r="F182" i="8" s="1"/>
  <c r="G182" i="8" s="1"/>
  <c r="H182" i="8" s="1"/>
  <c r="I182" i="8" s="1"/>
  <c r="J182" i="8" s="1"/>
  <c r="K182" i="8" s="1"/>
  <c r="L182" i="8" s="1"/>
  <c r="M182" i="8" s="1"/>
  <c r="N182" i="8" s="1"/>
  <c r="O182" i="8" s="1"/>
  <c r="P182" i="8" s="1"/>
  <c r="Q182" i="8" s="1"/>
  <c r="R182" i="8" s="1"/>
  <c r="S182" i="8" s="1"/>
  <c r="T182" i="8" s="1"/>
  <c r="U182" i="8" s="1"/>
  <c r="V182" i="8" s="1"/>
  <c r="W182" i="8" s="1"/>
  <c r="X182" i="8" s="1"/>
  <c r="Y182" i="8" s="1"/>
  <c r="Z182" i="8" s="1"/>
  <c r="AA182" i="8" s="1"/>
  <c r="AB182" i="8" s="1"/>
  <c r="AC182" i="8" s="1"/>
  <c r="AD182" i="8" s="1"/>
  <c r="AE182" i="8" s="1"/>
  <c r="AF182" i="8" s="1"/>
  <c r="AG182" i="8" s="1"/>
  <c r="AH182" i="8" s="1"/>
  <c r="AI182" i="8" s="1"/>
  <c r="AJ182" i="8" s="1"/>
  <c r="AK182" i="8" s="1"/>
  <c r="C175" i="8"/>
  <c r="D175" i="8" s="1"/>
  <c r="E175" i="8" s="1"/>
  <c r="F175" i="8" s="1"/>
  <c r="G175" i="8" s="1"/>
  <c r="H175" i="8" s="1"/>
  <c r="I175" i="8" s="1"/>
  <c r="J175" i="8" s="1"/>
  <c r="K175" i="8" s="1"/>
  <c r="L175" i="8" s="1"/>
  <c r="M175" i="8" s="1"/>
  <c r="N175" i="8" s="1"/>
  <c r="O175" i="8" s="1"/>
  <c r="P175" i="8" s="1"/>
  <c r="Q175" i="8" s="1"/>
  <c r="R175" i="8" s="1"/>
  <c r="S175" i="8" s="1"/>
  <c r="T175" i="8" s="1"/>
  <c r="U175" i="8" s="1"/>
  <c r="V175" i="8" s="1"/>
  <c r="W175" i="8" s="1"/>
  <c r="X175" i="8" s="1"/>
  <c r="Y175" i="8" s="1"/>
  <c r="Z175" i="8" s="1"/>
  <c r="AA175" i="8" s="1"/>
  <c r="AB175" i="8" s="1"/>
  <c r="AC175" i="8" s="1"/>
  <c r="AD175" i="8" s="1"/>
  <c r="AE175" i="8" s="1"/>
  <c r="AF175" i="8" s="1"/>
  <c r="AG175" i="8" s="1"/>
  <c r="AH175" i="8" s="1"/>
  <c r="AI175" i="8" s="1"/>
  <c r="AJ175" i="8" s="1"/>
  <c r="AK175" i="8" s="1"/>
  <c r="C174" i="8"/>
  <c r="D174" i="8" s="1"/>
  <c r="E174" i="8" s="1"/>
  <c r="F174" i="8" s="1"/>
  <c r="G174" i="8" s="1"/>
  <c r="H174" i="8" s="1"/>
  <c r="I174" i="8" s="1"/>
  <c r="J174" i="8" s="1"/>
  <c r="K174" i="8" s="1"/>
  <c r="L174" i="8" s="1"/>
  <c r="M174" i="8" s="1"/>
  <c r="N174" i="8" s="1"/>
  <c r="O174" i="8" s="1"/>
  <c r="P174" i="8" s="1"/>
  <c r="Q174" i="8" s="1"/>
  <c r="R174" i="8" s="1"/>
  <c r="S174" i="8" s="1"/>
  <c r="T174" i="8" s="1"/>
  <c r="U174" i="8" s="1"/>
  <c r="V174" i="8" s="1"/>
  <c r="W174" i="8" s="1"/>
  <c r="X174" i="8" s="1"/>
  <c r="Y174" i="8" s="1"/>
  <c r="Z174" i="8" s="1"/>
  <c r="AA174" i="8" s="1"/>
  <c r="AB174" i="8" s="1"/>
  <c r="AC174" i="8" s="1"/>
  <c r="AD174" i="8" s="1"/>
  <c r="AE174" i="8" s="1"/>
  <c r="AF174" i="8" s="1"/>
  <c r="AG174" i="8" s="1"/>
  <c r="AH174" i="8" s="1"/>
  <c r="AI174" i="8" s="1"/>
  <c r="AJ174" i="8" s="1"/>
  <c r="AK174" i="8" s="1"/>
  <c r="C173" i="8"/>
  <c r="D173" i="8" s="1"/>
  <c r="E173" i="8" s="1"/>
  <c r="F173" i="8" s="1"/>
  <c r="G173" i="8" s="1"/>
  <c r="H173" i="8" s="1"/>
  <c r="I173" i="8" s="1"/>
  <c r="J173" i="8" s="1"/>
  <c r="K173" i="8" s="1"/>
  <c r="L173" i="8" s="1"/>
  <c r="M173" i="8" s="1"/>
  <c r="N173" i="8" s="1"/>
  <c r="O173" i="8" s="1"/>
  <c r="P173" i="8" s="1"/>
  <c r="Q173" i="8" s="1"/>
  <c r="R173" i="8" s="1"/>
  <c r="S173" i="8" s="1"/>
  <c r="T173" i="8" s="1"/>
  <c r="U173" i="8" s="1"/>
  <c r="V173" i="8" s="1"/>
  <c r="W173" i="8" s="1"/>
  <c r="X173" i="8" s="1"/>
  <c r="Y173" i="8" s="1"/>
  <c r="Z173" i="8" s="1"/>
  <c r="AA173" i="8" s="1"/>
  <c r="AB173" i="8" s="1"/>
  <c r="AC173" i="8" s="1"/>
  <c r="AD173" i="8" s="1"/>
  <c r="AE173" i="8" s="1"/>
  <c r="AF173" i="8" s="1"/>
  <c r="AG173" i="8" s="1"/>
  <c r="AH173" i="8" s="1"/>
  <c r="AI173" i="8" s="1"/>
  <c r="AJ173" i="8" s="1"/>
  <c r="AK173" i="8" s="1"/>
  <c r="C139" i="8"/>
  <c r="D139" i="8" s="1"/>
  <c r="E139" i="8" s="1"/>
  <c r="F139" i="8" s="1"/>
  <c r="G139" i="8" s="1"/>
  <c r="H139" i="8" s="1"/>
  <c r="I139" i="8" s="1"/>
  <c r="J139" i="8" s="1"/>
  <c r="K139" i="8" s="1"/>
  <c r="L139" i="8" s="1"/>
  <c r="M139" i="8" s="1"/>
  <c r="N139" i="8" s="1"/>
  <c r="O139" i="8" s="1"/>
  <c r="P139" i="8" s="1"/>
  <c r="Q139" i="8" s="1"/>
  <c r="R139" i="8" s="1"/>
  <c r="S139" i="8" s="1"/>
  <c r="T139" i="8" s="1"/>
  <c r="U139" i="8" s="1"/>
  <c r="V139" i="8" s="1"/>
  <c r="W139" i="8" s="1"/>
  <c r="X139" i="8" s="1"/>
  <c r="Y139" i="8" s="1"/>
  <c r="Z139" i="8" s="1"/>
  <c r="AA139" i="8" s="1"/>
  <c r="AB139" i="8" s="1"/>
  <c r="AC139" i="8" s="1"/>
  <c r="AD139" i="8" s="1"/>
  <c r="AE139" i="8" s="1"/>
  <c r="AF139" i="8" s="1"/>
  <c r="AG139" i="8" s="1"/>
  <c r="C138" i="8"/>
  <c r="D138" i="8" s="1"/>
  <c r="E138" i="8" s="1"/>
  <c r="F138" i="8" s="1"/>
  <c r="G138" i="8" s="1"/>
  <c r="H138" i="8" s="1"/>
  <c r="I138" i="8" s="1"/>
  <c r="J138" i="8" s="1"/>
  <c r="K138" i="8" s="1"/>
  <c r="L138" i="8" s="1"/>
  <c r="M138" i="8" s="1"/>
  <c r="N138" i="8" s="1"/>
  <c r="O138" i="8" s="1"/>
  <c r="P138" i="8" s="1"/>
  <c r="Q138" i="8" s="1"/>
  <c r="R138" i="8" s="1"/>
  <c r="S138" i="8" s="1"/>
  <c r="T138" i="8" s="1"/>
  <c r="U138" i="8" s="1"/>
  <c r="V138" i="8" s="1"/>
  <c r="W138" i="8" s="1"/>
  <c r="X138" i="8" s="1"/>
  <c r="Y138" i="8" s="1"/>
  <c r="Z138" i="8" s="1"/>
  <c r="AA138" i="8" s="1"/>
  <c r="AB138" i="8" s="1"/>
  <c r="AC138" i="8" s="1"/>
  <c r="AD138" i="8" s="1"/>
  <c r="AE138" i="8" s="1"/>
  <c r="AF138" i="8" s="1"/>
  <c r="AG138" i="8" s="1"/>
  <c r="AH138" i="8" s="1"/>
  <c r="AI138" i="8" s="1"/>
  <c r="AJ138" i="8" s="1"/>
  <c r="AK138" i="8" s="1"/>
  <c r="C137" i="8"/>
  <c r="D137" i="8" s="1"/>
  <c r="E137" i="8" s="1"/>
  <c r="F137" i="8" s="1"/>
  <c r="G137" i="8" s="1"/>
  <c r="H137" i="8" s="1"/>
  <c r="I137" i="8" s="1"/>
  <c r="J137" i="8" s="1"/>
  <c r="K137" i="8" s="1"/>
  <c r="L137" i="8" s="1"/>
  <c r="M137" i="8" s="1"/>
  <c r="N137" i="8" s="1"/>
  <c r="O137" i="8" s="1"/>
  <c r="P137" i="8" s="1"/>
  <c r="Q137" i="8" s="1"/>
  <c r="R137" i="8" s="1"/>
  <c r="S137" i="8" s="1"/>
  <c r="T137" i="8" s="1"/>
  <c r="U137" i="8" s="1"/>
  <c r="V137" i="8" s="1"/>
  <c r="W137" i="8" s="1"/>
  <c r="X137" i="8" s="1"/>
  <c r="Y137" i="8" s="1"/>
  <c r="Z137" i="8" s="1"/>
  <c r="AA137" i="8" s="1"/>
  <c r="AB137" i="8" s="1"/>
  <c r="AC137" i="8" s="1"/>
  <c r="AD137" i="8" s="1"/>
  <c r="AE137" i="8" s="1"/>
  <c r="AF137" i="8" s="1"/>
  <c r="AG137" i="8" s="1"/>
  <c r="AH137" i="8" s="1"/>
  <c r="AI137" i="8" s="1"/>
  <c r="AJ137" i="8" s="1"/>
  <c r="AK137" i="8" s="1"/>
  <c r="C151" i="8"/>
  <c r="C103" i="8"/>
  <c r="D103" i="8" s="1"/>
  <c r="E103" i="8" s="1"/>
  <c r="F103" i="8" s="1"/>
  <c r="G103" i="8" s="1"/>
  <c r="H103" i="8" s="1"/>
  <c r="I103" i="8" s="1"/>
  <c r="J103" i="8" s="1"/>
  <c r="K103" i="8" s="1"/>
  <c r="L103" i="8" s="1"/>
  <c r="M103" i="8" s="1"/>
  <c r="N103" i="8" s="1"/>
  <c r="O103" i="8" s="1"/>
  <c r="P103" i="8" s="1"/>
  <c r="Q103" i="8" s="1"/>
  <c r="R103" i="8" s="1"/>
  <c r="S103" i="8" s="1"/>
  <c r="T103" i="8" s="1"/>
  <c r="U103" i="8" s="1"/>
  <c r="V103" i="8" s="1"/>
  <c r="W103" i="8" s="1"/>
  <c r="X103" i="8" s="1"/>
  <c r="Y103" i="8" s="1"/>
  <c r="Z103" i="8" s="1"/>
  <c r="AA103" i="8" s="1"/>
  <c r="AB103" i="8" s="1"/>
  <c r="AC103" i="8" s="1"/>
  <c r="AD103" i="8" s="1"/>
  <c r="AE103" i="8" s="1"/>
  <c r="AF103" i="8" s="1"/>
  <c r="AG103" i="8" s="1"/>
  <c r="AH103" i="8" s="1"/>
  <c r="AI103" i="8" s="1"/>
  <c r="AJ103" i="8" s="1"/>
  <c r="AK103" i="8" s="1"/>
  <c r="C102" i="8"/>
  <c r="D102" i="8" s="1"/>
  <c r="E102" i="8" s="1"/>
  <c r="F102" i="8" s="1"/>
  <c r="G102" i="8" s="1"/>
  <c r="H102" i="8" s="1"/>
  <c r="I102" i="8" s="1"/>
  <c r="J102" i="8" s="1"/>
  <c r="K102" i="8" s="1"/>
  <c r="L102" i="8" s="1"/>
  <c r="M102" i="8" s="1"/>
  <c r="N102" i="8" s="1"/>
  <c r="O102" i="8" s="1"/>
  <c r="P102" i="8" s="1"/>
  <c r="Q102" i="8" s="1"/>
  <c r="R102" i="8" s="1"/>
  <c r="S102" i="8" s="1"/>
  <c r="T102" i="8" s="1"/>
  <c r="U102" i="8" s="1"/>
  <c r="V102" i="8" s="1"/>
  <c r="W102" i="8" s="1"/>
  <c r="X102" i="8" s="1"/>
  <c r="Y102" i="8" s="1"/>
  <c r="Z102" i="8" s="1"/>
  <c r="AA102" i="8" s="1"/>
  <c r="AB102" i="8" s="1"/>
  <c r="AC102" i="8" s="1"/>
  <c r="AD102" i="8" s="1"/>
  <c r="AE102" i="8" s="1"/>
  <c r="AF102" i="8" s="1"/>
  <c r="AG102" i="8" s="1"/>
  <c r="AH102" i="8" s="1"/>
  <c r="AI102" i="8" s="1"/>
  <c r="AJ102" i="8" s="1"/>
  <c r="AK102" i="8" s="1"/>
  <c r="C59" i="8"/>
  <c r="D59" i="8" s="1"/>
  <c r="E59" i="8" s="1"/>
  <c r="F59" i="8" s="1"/>
  <c r="G59" i="8" s="1"/>
  <c r="H59" i="8" s="1"/>
  <c r="I59" i="8" s="1"/>
  <c r="J59" i="8" s="1"/>
  <c r="K59" i="8" s="1"/>
  <c r="L59" i="8" s="1"/>
  <c r="M59" i="8" s="1"/>
  <c r="N59" i="8" s="1"/>
  <c r="O59" i="8" s="1"/>
  <c r="P59" i="8" s="1"/>
  <c r="Q59" i="8" s="1"/>
  <c r="R59" i="8" s="1"/>
  <c r="S59" i="8" s="1"/>
  <c r="T59" i="8" s="1"/>
  <c r="U59" i="8" s="1"/>
  <c r="V59" i="8" s="1"/>
  <c r="W59" i="8" s="1"/>
  <c r="X59" i="8" s="1"/>
  <c r="Y59" i="8" s="1"/>
  <c r="Z59" i="8" s="1"/>
  <c r="AA59" i="8" s="1"/>
  <c r="AB59" i="8" s="1"/>
  <c r="AC59" i="8" s="1"/>
  <c r="AD59" i="8" s="1"/>
  <c r="AE59" i="8" s="1"/>
  <c r="AF59" i="8" s="1"/>
  <c r="AG59" i="8" s="1"/>
  <c r="AH59" i="8" s="1"/>
  <c r="AI59" i="8" s="1"/>
  <c r="AJ59" i="8" s="1"/>
  <c r="AK59" i="8" s="1"/>
  <c r="C54" i="8"/>
  <c r="D54" i="8" s="1"/>
  <c r="E54" i="8" s="1"/>
  <c r="F54" i="8" s="1"/>
  <c r="G54" i="8" s="1"/>
  <c r="H54" i="8" s="1"/>
  <c r="I54" i="8" s="1"/>
  <c r="J54" i="8" s="1"/>
  <c r="K54" i="8" s="1"/>
  <c r="L54" i="8" s="1"/>
  <c r="M54" i="8" s="1"/>
  <c r="N54" i="8" s="1"/>
  <c r="O54" i="8" s="1"/>
  <c r="P54" i="8" s="1"/>
  <c r="Q54" i="8" s="1"/>
  <c r="R54" i="8" s="1"/>
  <c r="S54" i="8" s="1"/>
  <c r="T54" i="8" s="1"/>
  <c r="U54" i="8" s="1"/>
  <c r="V54" i="8" s="1"/>
  <c r="W54" i="8" s="1"/>
  <c r="X54" i="8" s="1"/>
  <c r="Y54" i="8" s="1"/>
  <c r="Z54" i="8" s="1"/>
  <c r="AA54" i="8" s="1"/>
  <c r="AB54" i="8" s="1"/>
  <c r="AC54" i="8" s="1"/>
  <c r="AD54" i="8" s="1"/>
  <c r="AE54" i="8" s="1"/>
  <c r="AF54" i="8" s="1"/>
  <c r="AG54" i="8" s="1"/>
  <c r="AH54" i="8" s="1"/>
  <c r="AI54" i="8" s="1"/>
  <c r="AJ54" i="8" s="1"/>
  <c r="AK54" i="8" s="1"/>
  <c r="C55" i="8"/>
  <c r="D55" i="8" s="1"/>
  <c r="E55" i="8" s="1"/>
  <c r="F55" i="8" s="1"/>
  <c r="G55" i="8" s="1"/>
  <c r="H55" i="8" s="1"/>
  <c r="I55" i="8" s="1"/>
  <c r="J55" i="8" s="1"/>
  <c r="K55" i="8" s="1"/>
  <c r="L55" i="8" s="1"/>
  <c r="M55" i="8" s="1"/>
  <c r="N55" i="8" s="1"/>
  <c r="O55" i="8" s="1"/>
  <c r="P55" i="8" s="1"/>
  <c r="Q55" i="8" s="1"/>
  <c r="R55" i="8" s="1"/>
  <c r="S55" i="8" s="1"/>
  <c r="T55" i="8" s="1"/>
  <c r="U55" i="8" s="1"/>
  <c r="V55" i="8" s="1"/>
  <c r="W55" i="8" s="1"/>
  <c r="X55" i="8" s="1"/>
  <c r="Y55" i="8" s="1"/>
  <c r="Z55" i="8" s="1"/>
  <c r="AA55" i="8" s="1"/>
  <c r="AB55" i="8" s="1"/>
  <c r="AC55" i="8" s="1"/>
  <c r="AD55" i="8" s="1"/>
  <c r="AE55" i="8" s="1"/>
  <c r="AF55" i="8" s="1"/>
  <c r="AG55" i="8" s="1"/>
  <c r="AH55" i="8" s="1"/>
  <c r="AI55" i="8" s="1"/>
  <c r="AJ55" i="8" s="1"/>
  <c r="AK55" i="8" s="1"/>
  <c r="C56" i="8"/>
  <c r="D56" i="8" s="1"/>
  <c r="E56" i="8" s="1"/>
  <c r="F56" i="8" s="1"/>
  <c r="G56" i="8" s="1"/>
  <c r="H56" i="8" s="1"/>
  <c r="I56" i="8" s="1"/>
  <c r="J56" i="8" s="1"/>
  <c r="K56" i="8" s="1"/>
  <c r="L56" i="8" s="1"/>
  <c r="M56" i="8" s="1"/>
  <c r="N56" i="8" s="1"/>
  <c r="O56" i="8" s="1"/>
  <c r="P56" i="8" s="1"/>
  <c r="Q56" i="8" s="1"/>
  <c r="R56" i="8" s="1"/>
  <c r="S56" i="8" s="1"/>
  <c r="T56" i="8" s="1"/>
  <c r="U56" i="8" s="1"/>
  <c r="V56" i="8" s="1"/>
  <c r="W56" i="8" s="1"/>
  <c r="X56" i="8" s="1"/>
  <c r="Y56" i="8" s="1"/>
  <c r="Z56" i="8" s="1"/>
  <c r="AA56" i="8" s="1"/>
  <c r="AB56" i="8" s="1"/>
  <c r="AC56" i="8" s="1"/>
  <c r="AD56" i="8" s="1"/>
  <c r="AE56" i="8" s="1"/>
  <c r="AF56" i="8" s="1"/>
  <c r="AG56" i="8" s="1"/>
  <c r="AH56" i="8" s="1"/>
  <c r="AI56" i="8" s="1"/>
  <c r="AJ56" i="8" s="1"/>
  <c r="AK56" i="8" s="1"/>
  <c r="C53" i="8"/>
  <c r="D53" i="8" s="1"/>
  <c r="E53" i="8" s="1"/>
  <c r="F53" i="8" s="1"/>
  <c r="G53" i="8" s="1"/>
  <c r="H53" i="8" s="1"/>
  <c r="I53" i="8" s="1"/>
  <c r="J53" i="8" s="1"/>
  <c r="K53" i="8" s="1"/>
  <c r="L53" i="8" s="1"/>
  <c r="M53" i="8" s="1"/>
  <c r="N53" i="8" s="1"/>
  <c r="O53" i="8" s="1"/>
  <c r="P53" i="8" s="1"/>
  <c r="Q53" i="8" s="1"/>
  <c r="R53" i="8" s="1"/>
  <c r="S53" i="8" s="1"/>
  <c r="T53" i="8" s="1"/>
  <c r="U53" i="8" s="1"/>
  <c r="V53" i="8" s="1"/>
  <c r="W53" i="8" s="1"/>
  <c r="X53" i="8" s="1"/>
  <c r="Y53" i="8" s="1"/>
  <c r="Z53" i="8" s="1"/>
  <c r="AA53" i="8" s="1"/>
  <c r="AB53" i="8" s="1"/>
  <c r="AC53" i="8" s="1"/>
  <c r="AD53" i="8" s="1"/>
  <c r="AE53" i="8" s="1"/>
  <c r="AF53" i="8" s="1"/>
  <c r="AG53" i="8" s="1"/>
  <c r="AH53" i="8" s="1"/>
  <c r="AI53" i="8" s="1"/>
  <c r="AJ53" i="8" s="1"/>
  <c r="AK53" i="8" s="1"/>
  <c r="C30" i="8"/>
  <c r="D30" i="8" s="1"/>
  <c r="E30" i="8" s="1"/>
  <c r="F30" i="8" s="1"/>
  <c r="G30" i="8" s="1"/>
  <c r="H30" i="8" s="1"/>
  <c r="I30" i="8" s="1"/>
  <c r="J30" i="8" s="1"/>
  <c r="K30" i="8" s="1"/>
  <c r="L30" i="8" s="1"/>
  <c r="M30" i="8" s="1"/>
  <c r="N30" i="8" s="1"/>
  <c r="O30" i="8" s="1"/>
  <c r="P30" i="8" s="1"/>
  <c r="Q30" i="8" s="1"/>
  <c r="R30" i="8" s="1"/>
  <c r="S30" i="8" s="1"/>
  <c r="T30" i="8" s="1"/>
  <c r="U30" i="8" s="1"/>
  <c r="V30" i="8" s="1"/>
  <c r="W30" i="8" s="1"/>
  <c r="X30" i="8" s="1"/>
  <c r="Y30" i="8" s="1"/>
  <c r="Z30" i="8" s="1"/>
  <c r="AA30" i="8" s="1"/>
  <c r="AB30" i="8" s="1"/>
  <c r="AC30" i="8" s="1"/>
  <c r="AD30" i="8" s="1"/>
  <c r="AE30" i="8" s="1"/>
  <c r="AF30" i="8" s="1"/>
  <c r="AG30" i="8" s="1"/>
  <c r="AH30" i="8" s="1"/>
  <c r="AI30" i="8" s="1"/>
  <c r="AJ30" i="8" s="1"/>
  <c r="AK30" i="8" s="1"/>
  <c r="C32" i="8"/>
  <c r="D32" i="8" s="1"/>
  <c r="E32" i="8" s="1"/>
  <c r="F32" i="8" s="1"/>
  <c r="G32" i="8" s="1"/>
  <c r="H32" i="8" s="1"/>
  <c r="I32" i="8" s="1"/>
  <c r="J32" i="8" s="1"/>
  <c r="K32" i="8" s="1"/>
  <c r="L32" i="8" s="1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W32" i="8" s="1"/>
  <c r="X32" i="8" s="1"/>
  <c r="Y32" i="8" s="1"/>
  <c r="Z32" i="8" s="1"/>
  <c r="AA32" i="8" s="1"/>
  <c r="AB32" i="8" s="1"/>
  <c r="AC32" i="8" s="1"/>
  <c r="AD32" i="8" s="1"/>
  <c r="AE32" i="8" s="1"/>
  <c r="AF32" i="8" s="1"/>
  <c r="AG32" i="8" s="1"/>
  <c r="AH32" i="8" s="1"/>
  <c r="AI32" i="8" s="1"/>
  <c r="AJ32" i="8" s="1"/>
  <c r="AK32" i="8" s="1"/>
  <c r="C31" i="8"/>
  <c r="D31" i="8" s="1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T31" i="8" s="1"/>
  <c r="U31" i="8" s="1"/>
  <c r="V31" i="8" s="1"/>
  <c r="W31" i="8" s="1"/>
  <c r="X31" i="8" s="1"/>
  <c r="Y31" i="8" s="1"/>
  <c r="Z31" i="8" s="1"/>
  <c r="AA31" i="8" s="1"/>
  <c r="AB31" i="8" s="1"/>
  <c r="AC31" i="8" s="1"/>
  <c r="AD31" i="8" s="1"/>
  <c r="AE31" i="8" s="1"/>
  <c r="AF31" i="8" s="1"/>
  <c r="AG31" i="8" s="1"/>
  <c r="AH31" i="8" s="1"/>
  <c r="AI31" i="8" s="1"/>
  <c r="AJ31" i="8" s="1"/>
  <c r="AK31" i="8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AJ5" i="8" s="1"/>
  <c r="AK5" i="8" s="1"/>
  <c r="C6" i="8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AJ6" i="8" s="1"/>
  <c r="AK6" i="8" s="1"/>
  <c r="C7" i="8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AI7" i="8" s="1"/>
  <c r="AJ7" i="8" s="1"/>
  <c r="AK7" i="8" s="1"/>
  <c r="AL19" i="8"/>
  <c r="C19" i="8"/>
  <c r="D19" i="8" s="1"/>
  <c r="E19" i="8" s="1"/>
  <c r="F19" i="8" s="1"/>
  <c r="G19" i="8" s="1"/>
  <c r="H19" i="8" s="1"/>
  <c r="I19" i="8" s="1"/>
  <c r="J19" i="8" s="1"/>
  <c r="K19" i="8" s="1"/>
  <c r="L19" i="8" s="1"/>
  <c r="M19" i="8" s="1"/>
  <c r="N19" i="8" s="1"/>
  <c r="O19" i="8" s="1"/>
  <c r="P19" i="8" s="1"/>
  <c r="Q19" i="8" s="1"/>
  <c r="R19" i="8" s="1"/>
  <c r="S19" i="8" s="1"/>
  <c r="T19" i="8" s="1"/>
  <c r="U19" i="8" s="1"/>
  <c r="V19" i="8" s="1"/>
  <c r="W19" i="8" s="1"/>
  <c r="X19" i="8" s="1"/>
  <c r="Y19" i="8" s="1"/>
  <c r="Z19" i="8" s="1"/>
  <c r="AA19" i="8" s="1"/>
  <c r="AB19" i="8" s="1"/>
  <c r="AC19" i="8" s="1"/>
  <c r="AD19" i="8" s="1"/>
  <c r="AE19" i="8" s="1"/>
  <c r="AF19" i="8" s="1"/>
  <c r="AG19" i="8" s="1"/>
  <c r="AH19" i="8" s="1"/>
  <c r="AI19" i="8" s="1"/>
  <c r="AJ19" i="8" s="1"/>
  <c r="AK19" i="8" s="1"/>
  <c r="C20" i="8"/>
  <c r="D20" i="8" s="1"/>
  <c r="E20" i="8" s="1"/>
  <c r="F20" i="8" s="1"/>
  <c r="G20" i="8" s="1"/>
  <c r="H20" i="8" s="1"/>
  <c r="I20" i="8" s="1"/>
  <c r="J20" i="8" s="1"/>
  <c r="K20" i="8" s="1"/>
  <c r="L20" i="8" s="1"/>
  <c r="M20" i="8" s="1"/>
  <c r="N20" i="8" s="1"/>
  <c r="O20" i="8" s="1"/>
  <c r="P20" i="8" s="1"/>
  <c r="Q20" i="8" s="1"/>
  <c r="R20" i="8" s="1"/>
  <c r="S20" i="8" s="1"/>
  <c r="T20" i="8" s="1"/>
  <c r="U20" i="8" s="1"/>
  <c r="V20" i="8" s="1"/>
  <c r="W20" i="8" s="1"/>
  <c r="X20" i="8" s="1"/>
  <c r="Y20" i="8" s="1"/>
  <c r="Z20" i="8" s="1"/>
  <c r="AA20" i="8" s="1"/>
  <c r="AB20" i="8" s="1"/>
  <c r="AC20" i="8" s="1"/>
  <c r="AD20" i="8" s="1"/>
  <c r="AE20" i="8" s="1"/>
  <c r="AF20" i="8" s="1"/>
  <c r="AG20" i="8" s="1"/>
  <c r="AH20" i="8" s="1"/>
  <c r="AI20" i="8" s="1"/>
  <c r="AJ20" i="8" s="1"/>
  <c r="AK20" i="8" s="1"/>
  <c r="C18" i="8"/>
  <c r="D18" i="8" s="1"/>
  <c r="E18" i="8" s="1"/>
  <c r="F18" i="8" s="1"/>
  <c r="G18" i="8" s="1"/>
  <c r="H18" i="8" s="1"/>
  <c r="I18" i="8" s="1"/>
  <c r="J18" i="8" s="1"/>
  <c r="K18" i="8" s="1"/>
  <c r="L18" i="8" s="1"/>
  <c r="M18" i="8" s="1"/>
  <c r="N18" i="8" s="1"/>
  <c r="O18" i="8" s="1"/>
  <c r="P18" i="8" s="1"/>
  <c r="Q18" i="8" s="1"/>
  <c r="R18" i="8" s="1"/>
  <c r="S18" i="8" s="1"/>
  <c r="T18" i="8" s="1"/>
  <c r="U18" i="8" s="1"/>
  <c r="V18" i="8" s="1"/>
  <c r="W18" i="8" s="1"/>
  <c r="X18" i="8" s="1"/>
  <c r="Y18" i="8" s="1"/>
  <c r="Z18" i="8" s="1"/>
  <c r="AA18" i="8" s="1"/>
  <c r="AB18" i="8" s="1"/>
  <c r="AC18" i="8" s="1"/>
  <c r="AD18" i="8" s="1"/>
  <c r="AE18" i="8" s="1"/>
  <c r="AF18" i="8" s="1"/>
  <c r="AG18" i="8" s="1"/>
  <c r="AH18" i="8" s="1"/>
  <c r="AI18" i="8" s="1"/>
  <c r="AJ18" i="8" s="1"/>
  <c r="AK18" i="8" s="1"/>
  <c r="C161" i="8"/>
  <c r="D161" i="8" s="1"/>
  <c r="E161" i="8" s="1"/>
  <c r="F161" i="8" s="1"/>
  <c r="G161" i="8" s="1"/>
  <c r="H161" i="8" s="1"/>
  <c r="I161" i="8" s="1"/>
  <c r="J161" i="8" s="1"/>
  <c r="K161" i="8" s="1"/>
  <c r="L161" i="8" s="1"/>
  <c r="M161" i="8" s="1"/>
  <c r="N161" i="8" s="1"/>
  <c r="O161" i="8" s="1"/>
  <c r="P161" i="8" s="1"/>
  <c r="Q161" i="8" s="1"/>
  <c r="R161" i="8" s="1"/>
  <c r="S161" i="8" s="1"/>
  <c r="T161" i="8" s="1"/>
  <c r="U161" i="8" s="1"/>
  <c r="V161" i="8" s="1"/>
  <c r="W161" i="8" s="1"/>
  <c r="X161" i="8" s="1"/>
  <c r="Y161" i="8" s="1"/>
  <c r="Z161" i="8" s="1"/>
  <c r="AA161" i="8" s="1"/>
  <c r="AB161" i="8" s="1"/>
  <c r="AC161" i="8" s="1"/>
  <c r="AD161" i="8" s="1"/>
  <c r="AE161" i="8" s="1"/>
  <c r="AF161" i="8" s="1"/>
  <c r="AG161" i="8" s="1"/>
  <c r="AH161" i="8" s="1"/>
  <c r="AI161" i="8" s="1"/>
  <c r="AJ161" i="8" s="1"/>
  <c r="AK161" i="8" s="1"/>
  <c r="C160" i="8"/>
  <c r="D160" i="8" s="1"/>
  <c r="E160" i="8" s="1"/>
  <c r="F160" i="8" s="1"/>
  <c r="G160" i="8" s="1"/>
  <c r="H160" i="8" s="1"/>
  <c r="I160" i="8" s="1"/>
  <c r="J160" i="8" s="1"/>
  <c r="K160" i="8" s="1"/>
  <c r="L160" i="8" s="1"/>
  <c r="M160" i="8" s="1"/>
  <c r="N160" i="8" s="1"/>
  <c r="O160" i="8" s="1"/>
  <c r="P160" i="8" s="1"/>
  <c r="Q160" i="8" s="1"/>
  <c r="R160" i="8" s="1"/>
  <c r="S160" i="8" s="1"/>
  <c r="T160" i="8" s="1"/>
  <c r="U160" i="8" s="1"/>
  <c r="V160" i="8" s="1"/>
  <c r="W160" i="8" s="1"/>
  <c r="X160" i="8" s="1"/>
  <c r="Y160" i="8" s="1"/>
  <c r="Z160" i="8" s="1"/>
  <c r="AA160" i="8" s="1"/>
  <c r="AB160" i="8" s="1"/>
  <c r="AC160" i="8" s="1"/>
  <c r="AD160" i="8" s="1"/>
  <c r="AE160" i="8" s="1"/>
  <c r="AF160" i="8" s="1"/>
  <c r="AG160" i="8" s="1"/>
  <c r="AH160" i="8" s="1"/>
  <c r="AI160" i="8" s="1"/>
  <c r="AJ160" i="8" s="1"/>
  <c r="AK160" i="8" s="1"/>
  <c r="C159" i="8"/>
  <c r="D159" i="8" s="1"/>
  <c r="E159" i="8" s="1"/>
  <c r="F159" i="8" s="1"/>
  <c r="G159" i="8" s="1"/>
  <c r="H159" i="8" s="1"/>
  <c r="I159" i="8" s="1"/>
  <c r="J159" i="8" s="1"/>
  <c r="K159" i="8" s="1"/>
  <c r="L159" i="8" s="1"/>
  <c r="M159" i="8" s="1"/>
  <c r="N159" i="8" s="1"/>
  <c r="O159" i="8" s="1"/>
  <c r="P159" i="8" s="1"/>
  <c r="Q159" i="8" s="1"/>
  <c r="R159" i="8" s="1"/>
  <c r="S159" i="8" s="1"/>
  <c r="T159" i="8" s="1"/>
  <c r="U159" i="8" s="1"/>
  <c r="V159" i="8" s="1"/>
  <c r="W159" i="8" s="1"/>
  <c r="X159" i="8" s="1"/>
  <c r="Y159" i="8" s="1"/>
  <c r="Z159" i="8" s="1"/>
  <c r="AA159" i="8" s="1"/>
  <c r="AB159" i="8" s="1"/>
  <c r="AC159" i="8" s="1"/>
  <c r="AD159" i="8" s="1"/>
  <c r="AE159" i="8" s="1"/>
  <c r="AF159" i="8" s="1"/>
  <c r="AG159" i="8" s="1"/>
  <c r="AH159" i="8" s="1"/>
  <c r="AI159" i="8" s="1"/>
  <c r="AJ159" i="8" s="1"/>
  <c r="AK159" i="8" s="1"/>
  <c r="C158" i="8"/>
  <c r="D158" i="8" s="1"/>
  <c r="E158" i="8" s="1"/>
  <c r="F158" i="8" s="1"/>
  <c r="G158" i="8" s="1"/>
  <c r="H158" i="8" s="1"/>
  <c r="I158" i="8" s="1"/>
  <c r="J158" i="8" s="1"/>
  <c r="K158" i="8" s="1"/>
  <c r="L158" i="8" s="1"/>
  <c r="M158" i="8" s="1"/>
  <c r="N158" i="8" s="1"/>
  <c r="O158" i="8" s="1"/>
  <c r="P158" i="8" s="1"/>
  <c r="Q158" i="8" s="1"/>
  <c r="R158" i="8" s="1"/>
  <c r="S158" i="8" s="1"/>
  <c r="T158" i="8" s="1"/>
  <c r="U158" i="8" s="1"/>
  <c r="V158" i="8" s="1"/>
  <c r="W158" i="8" s="1"/>
  <c r="X158" i="8" s="1"/>
  <c r="Y158" i="8" s="1"/>
  <c r="Z158" i="8" s="1"/>
  <c r="AA158" i="8" s="1"/>
  <c r="AB158" i="8" s="1"/>
  <c r="AC158" i="8" s="1"/>
  <c r="AD158" i="8" s="1"/>
  <c r="AE158" i="8" s="1"/>
  <c r="AF158" i="8" s="1"/>
  <c r="AG158" i="8" s="1"/>
  <c r="AH158" i="8" s="1"/>
  <c r="AI158" i="8" s="1"/>
  <c r="AJ158" i="8" s="1"/>
  <c r="AK158" i="8" s="1"/>
  <c r="C157" i="8"/>
  <c r="D157" i="8" s="1"/>
  <c r="E157" i="8" s="1"/>
  <c r="F157" i="8" s="1"/>
  <c r="G157" i="8" s="1"/>
  <c r="H157" i="8" s="1"/>
  <c r="I157" i="8" s="1"/>
  <c r="J157" i="8" s="1"/>
  <c r="K157" i="8" s="1"/>
  <c r="L157" i="8" s="1"/>
  <c r="M157" i="8" s="1"/>
  <c r="N157" i="8" s="1"/>
  <c r="O157" i="8" s="1"/>
  <c r="P157" i="8" s="1"/>
  <c r="Q157" i="8" s="1"/>
  <c r="R157" i="8" s="1"/>
  <c r="S157" i="8" s="1"/>
  <c r="T157" i="8" s="1"/>
  <c r="U157" i="8" s="1"/>
  <c r="V157" i="8" s="1"/>
  <c r="W157" i="8" s="1"/>
  <c r="X157" i="8" s="1"/>
  <c r="Y157" i="8" s="1"/>
  <c r="Z157" i="8" s="1"/>
  <c r="AA157" i="8" s="1"/>
  <c r="AB157" i="8" s="1"/>
  <c r="AC157" i="8" s="1"/>
  <c r="AD157" i="8" s="1"/>
  <c r="AE157" i="8" s="1"/>
  <c r="AF157" i="8" s="1"/>
  <c r="AG157" i="8" s="1"/>
  <c r="AH157" i="8" s="1"/>
  <c r="AI157" i="8" s="1"/>
  <c r="AJ157" i="8" s="1"/>
  <c r="AK157" i="8" s="1"/>
  <c r="C94" i="8"/>
  <c r="D94" i="8" s="1"/>
  <c r="E94" i="8" s="1"/>
  <c r="F94" i="8" s="1"/>
  <c r="G94" i="8" s="1"/>
  <c r="H94" i="8" s="1"/>
  <c r="I94" i="8" s="1"/>
  <c r="J94" i="8" s="1"/>
  <c r="K94" i="8" s="1"/>
  <c r="L94" i="8" s="1"/>
  <c r="M94" i="8" s="1"/>
  <c r="N94" i="8" s="1"/>
  <c r="O94" i="8" s="1"/>
  <c r="P94" i="8" s="1"/>
  <c r="Q94" i="8" s="1"/>
  <c r="R94" i="8" s="1"/>
  <c r="S94" i="8" s="1"/>
  <c r="T94" i="8" s="1"/>
  <c r="U94" i="8" s="1"/>
  <c r="V94" i="8" s="1"/>
  <c r="W94" i="8" s="1"/>
  <c r="X94" i="8" s="1"/>
  <c r="Y94" i="8" s="1"/>
  <c r="Z94" i="8" s="1"/>
  <c r="AA94" i="8" s="1"/>
  <c r="AB94" i="8" s="1"/>
  <c r="AC94" i="8" s="1"/>
  <c r="AD94" i="8" s="1"/>
  <c r="AE94" i="8" s="1"/>
  <c r="AF94" i="8" s="1"/>
  <c r="AG94" i="8" s="1"/>
  <c r="AH94" i="8" s="1"/>
  <c r="AI94" i="8" s="1"/>
  <c r="AJ94" i="8" s="1"/>
  <c r="AK94" i="8" s="1"/>
  <c r="C93" i="8"/>
  <c r="D93" i="8" s="1"/>
  <c r="E93" i="8" s="1"/>
  <c r="F93" i="8" s="1"/>
  <c r="G93" i="8" s="1"/>
  <c r="H93" i="8" s="1"/>
  <c r="I93" i="8" s="1"/>
  <c r="J93" i="8" s="1"/>
  <c r="K93" i="8" s="1"/>
  <c r="L93" i="8" s="1"/>
  <c r="M93" i="8" s="1"/>
  <c r="N93" i="8" s="1"/>
  <c r="O93" i="8" s="1"/>
  <c r="P93" i="8" s="1"/>
  <c r="Q93" i="8" s="1"/>
  <c r="R93" i="8" s="1"/>
  <c r="S93" i="8" s="1"/>
  <c r="T93" i="8" s="1"/>
  <c r="U93" i="8" s="1"/>
  <c r="V93" i="8" s="1"/>
  <c r="W93" i="8" s="1"/>
  <c r="X93" i="8" s="1"/>
  <c r="Y93" i="8" s="1"/>
  <c r="Z93" i="8" s="1"/>
  <c r="AA93" i="8" s="1"/>
  <c r="AB93" i="8" s="1"/>
  <c r="AC93" i="8" s="1"/>
  <c r="AD93" i="8" s="1"/>
  <c r="AE93" i="8" s="1"/>
  <c r="AF93" i="8" s="1"/>
  <c r="AG93" i="8" s="1"/>
  <c r="AH93" i="8" s="1"/>
  <c r="AI93" i="8" s="1"/>
  <c r="AJ93" i="8" s="1"/>
  <c r="AK93" i="8" s="1"/>
  <c r="C92" i="8"/>
  <c r="D92" i="8" s="1"/>
  <c r="E92" i="8" s="1"/>
  <c r="F92" i="8" s="1"/>
  <c r="G92" i="8" s="1"/>
  <c r="H92" i="8" s="1"/>
  <c r="I92" i="8" s="1"/>
  <c r="J92" i="8" s="1"/>
  <c r="K92" i="8" s="1"/>
  <c r="L92" i="8" s="1"/>
  <c r="M92" i="8" s="1"/>
  <c r="N92" i="8" s="1"/>
  <c r="O92" i="8" s="1"/>
  <c r="P92" i="8" s="1"/>
  <c r="Q92" i="8" s="1"/>
  <c r="R92" i="8" s="1"/>
  <c r="S92" i="8" s="1"/>
  <c r="T92" i="8" s="1"/>
  <c r="U92" i="8" s="1"/>
  <c r="V92" i="8" s="1"/>
  <c r="W92" i="8" s="1"/>
  <c r="X92" i="8" s="1"/>
  <c r="Y92" i="8" s="1"/>
  <c r="Z92" i="8" s="1"/>
  <c r="AA92" i="8" s="1"/>
  <c r="AB92" i="8" s="1"/>
  <c r="AC92" i="8" s="1"/>
  <c r="AD92" i="8" s="1"/>
  <c r="AE92" i="8" s="1"/>
  <c r="AF92" i="8" s="1"/>
  <c r="AG92" i="8" s="1"/>
  <c r="AH92" i="8" s="1"/>
  <c r="AI92" i="8" s="1"/>
  <c r="AJ92" i="8" s="1"/>
  <c r="AK92" i="8" s="1"/>
  <c r="C181" i="8"/>
  <c r="D181" i="8" s="1"/>
  <c r="E181" i="8" s="1"/>
  <c r="F181" i="8" s="1"/>
  <c r="G181" i="8" s="1"/>
  <c r="H181" i="8" s="1"/>
  <c r="I181" i="8" s="1"/>
  <c r="J181" i="8" s="1"/>
  <c r="K181" i="8" s="1"/>
  <c r="L181" i="8" s="1"/>
  <c r="M181" i="8" s="1"/>
  <c r="N181" i="8" s="1"/>
  <c r="O181" i="8" s="1"/>
  <c r="P181" i="8" s="1"/>
  <c r="Q181" i="8" s="1"/>
  <c r="R181" i="8" s="1"/>
  <c r="S181" i="8" s="1"/>
  <c r="T181" i="8" s="1"/>
  <c r="U181" i="8" s="1"/>
  <c r="V181" i="8" s="1"/>
  <c r="W181" i="8" s="1"/>
  <c r="X181" i="8" s="1"/>
  <c r="Y181" i="8" s="1"/>
  <c r="Z181" i="8" s="1"/>
  <c r="AA181" i="8" s="1"/>
  <c r="AB181" i="8" s="1"/>
  <c r="AC181" i="8" s="1"/>
  <c r="AD181" i="8" s="1"/>
  <c r="AE181" i="8" s="1"/>
  <c r="AF181" i="8" s="1"/>
  <c r="AG181" i="8" s="1"/>
  <c r="AH181" i="8" s="1"/>
  <c r="AI181" i="8" s="1"/>
  <c r="AJ181" i="8" s="1"/>
  <c r="AK181" i="8" s="1"/>
  <c r="C180" i="8"/>
  <c r="D180" i="8" s="1"/>
  <c r="E180" i="8" s="1"/>
  <c r="F180" i="8" s="1"/>
  <c r="G180" i="8" s="1"/>
  <c r="H180" i="8" s="1"/>
  <c r="I180" i="8" s="1"/>
  <c r="J180" i="8" s="1"/>
  <c r="K180" i="8" s="1"/>
  <c r="L180" i="8" s="1"/>
  <c r="M180" i="8" s="1"/>
  <c r="N180" i="8" s="1"/>
  <c r="O180" i="8" s="1"/>
  <c r="P180" i="8" s="1"/>
  <c r="Q180" i="8" s="1"/>
  <c r="R180" i="8" s="1"/>
  <c r="S180" i="8" s="1"/>
  <c r="T180" i="8" s="1"/>
  <c r="U180" i="8" s="1"/>
  <c r="V180" i="8" s="1"/>
  <c r="W180" i="8" s="1"/>
  <c r="X180" i="8" s="1"/>
  <c r="Y180" i="8" s="1"/>
  <c r="Z180" i="8" s="1"/>
  <c r="AA180" i="8" s="1"/>
  <c r="AB180" i="8" s="1"/>
  <c r="AC180" i="8" s="1"/>
  <c r="AD180" i="8" s="1"/>
  <c r="AE180" i="8" s="1"/>
  <c r="AF180" i="8" s="1"/>
  <c r="AG180" i="8" s="1"/>
  <c r="AH180" i="8" s="1"/>
  <c r="AI180" i="8" s="1"/>
  <c r="AJ180" i="8" s="1"/>
  <c r="AK180" i="8" s="1"/>
  <c r="C179" i="8"/>
  <c r="D179" i="8" s="1"/>
  <c r="E179" i="8" s="1"/>
  <c r="F179" i="8" s="1"/>
  <c r="G179" i="8" s="1"/>
  <c r="H179" i="8" s="1"/>
  <c r="I179" i="8" s="1"/>
  <c r="J179" i="8" s="1"/>
  <c r="K179" i="8" s="1"/>
  <c r="L179" i="8" s="1"/>
  <c r="M179" i="8" s="1"/>
  <c r="N179" i="8" s="1"/>
  <c r="O179" i="8" s="1"/>
  <c r="P179" i="8" s="1"/>
  <c r="Q179" i="8" s="1"/>
  <c r="R179" i="8" s="1"/>
  <c r="S179" i="8" s="1"/>
  <c r="T179" i="8" s="1"/>
  <c r="U179" i="8" s="1"/>
  <c r="V179" i="8" s="1"/>
  <c r="W179" i="8" s="1"/>
  <c r="X179" i="8" s="1"/>
  <c r="Y179" i="8" s="1"/>
  <c r="Z179" i="8" s="1"/>
  <c r="AA179" i="8" s="1"/>
  <c r="AB179" i="8" s="1"/>
  <c r="AC179" i="8" s="1"/>
  <c r="AD179" i="8" s="1"/>
  <c r="AE179" i="8" s="1"/>
  <c r="AF179" i="8" s="1"/>
  <c r="AG179" i="8" s="1"/>
  <c r="AH179" i="8" s="1"/>
  <c r="AI179" i="8" s="1"/>
  <c r="AJ179" i="8" s="1"/>
  <c r="AK179" i="8" s="1"/>
  <c r="C172" i="8"/>
  <c r="D172" i="8" s="1"/>
  <c r="E172" i="8" s="1"/>
  <c r="F172" i="8" s="1"/>
  <c r="G172" i="8" s="1"/>
  <c r="H172" i="8" s="1"/>
  <c r="I172" i="8" s="1"/>
  <c r="J172" i="8" s="1"/>
  <c r="K172" i="8" s="1"/>
  <c r="L172" i="8" s="1"/>
  <c r="M172" i="8" s="1"/>
  <c r="N172" i="8" s="1"/>
  <c r="O172" i="8" s="1"/>
  <c r="P172" i="8" s="1"/>
  <c r="Q172" i="8" s="1"/>
  <c r="R172" i="8" s="1"/>
  <c r="S172" i="8" s="1"/>
  <c r="T172" i="8" s="1"/>
  <c r="U172" i="8" s="1"/>
  <c r="V172" i="8" s="1"/>
  <c r="W172" i="8" s="1"/>
  <c r="X172" i="8" s="1"/>
  <c r="Y172" i="8" s="1"/>
  <c r="Z172" i="8" s="1"/>
  <c r="AA172" i="8" s="1"/>
  <c r="AB172" i="8" s="1"/>
  <c r="AC172" i="8" s="1"/>
  <c r="AD172" i="8" s="1"/>
  <c r="AE172" i="8" s="1"/>
  <c r="AF172" i="8" s="1"/>
  <c r="AG172" i="8" s="1"/>
  <c r="AH172" i="8" s="1"/>
  <c r="AI172" i="8" s="1"/>
  <c r="AJ172" i="8" s="1"/>
  <c r="AK172" i="8" s="1"/>
  <c r="C171" i="8"/>
  <c r="D171" i="8" s="1"/>
  <c r="E171" i="8" s="1"/>
  <c r="F171" i="8" s="1"/>
  <c r="G171" i="8" s="1"/>
  <c r="H171" i="8" s="1"/>
  <c r="I171" i="8" s="1"/>
  <c r="J171" i="8" s="1"/>
  <c r="K171" i="8" s="1"/>
  <c r="L171" i="8" s="1"/>
  <c r="M171" i="8" s="1"/>
  <c r="N171" i="8" s="1"/>
  <c r="O171" i="8" s="1"/>
  <c r="P171" i="8" s="1"/>
  <c r="Q171" i="8" s="1"/>
  <c r="R171" i="8" s="1"/>
  <c r="S171" i="8" s="1"/>
  <c r="T171" i="8" s="1"/>
  <c r="U171" i="8" s="1"/>
  <c r="V171" i="8" s="1"/>
  <c r="W171" i="8" s="1"/>
  <c r="X171" i="8" s="1"/>
  <c r="Y171" i="8" s="1"/>
  <c r="Z171" i="8" s="1"/>
  <c r="AA171" i="8" s="1"/>
  <c r="AB171" i="8" s="1"/>
  <c r="AC171" i="8" s="1"/>
  <c r="AD171" i="8" s="1"/>
  <c r="AE171" i="8" s="1"/>
  <c r="AF171" i="8" s="1"/>
  <c r="AG171" i="8" s="1"/>
  <c r="AH171" i="8" s="1"/>
  <c r="AI171" i="8" s="1"/>
  <c r="AJ171" i="8" s="1"/>
  <c r="AK171" i="8" s="1"/>
  <c r="C170" i="8"/>
  <c r="D170" i="8" s="1"/>
  <c r="E170" i="8" s="1"/>
  <c r="F170" i="8" s="1"/>
  <c r="G170" i="8" s="1"/>
  <c r="H170" i="8" s="1"/>
  <c r="I170" i="8" s="1"/>
  <c r="J170" i="8" s="1"/>
  <c r="K170" i="8" s="1"/>
  <c r="L170" i="8" s="1"/>
  <c r="M170" i="8" s="1"/>
  <c r="N170" i="8" s="1"/>
  <c r="O170" i="8" s="1"/>
  <c r="P170" i="8" s="1"/>
  <c r="Q170" i="8" s="1"/>
  <c r="R170" i="8" s="1"/>
  <c r="S170" i="8" s="1"/>
  <c r="T170" i="8" s="1"/>
  <c r="U170" i="8" s="1"/>
  <c r="V170" i="8" s="1"/>
  <c r="W170" i="8" s="1"/>
  <c r="X170" i="8" s="1"/>
  <c r="Y170" i="8" s="1"/>
  <c r="Z170" i="8" s="1"/>
  <c r="AA170" i="8" s="1"/>
  <c r="AB170" i="8" s="1"/>
  <c r="AC170" i="8" s="1"/>
  <c r="AD170" i="8" s="1"/>
  <c r="AE170" i="8" s="1"/>
  <c r="AF170" i="8" s="1"/>
  <c r="AG170" i="8" s="1"/>
  <c r="AH170" i="8" s="1"/>
  <c r="AI170" i="8" s="1"/>
  <c r="AJ170" i="8" s="1"/>
  <c r="AK170" i="8" s="1"/>
  <c r="C136" i="8"/>
  <c r="D136" i="8" s="1"/>
  <c r="E136" i="8" s="1"/>
  <c r="F136" i="8" s="1"/>
  <c r="G136" i="8" s="1"/>
  <c r="H136" i="8" s="1"/>
  <c r="I136" i="8" s="1"/>
  <c r="J136" i="8" s="1"/>
  <c r="K136" i="8" s="1"/>
  <c r="L136" i="8" s="1"/>
  <c r="M136" i="8" s="1"/>
  <c r="N136" i="8" s="1"/>
  <c r="O136" i="8" s="1"/>
  <c r="P136" i="8" s="1"/>
  <c r="Q136" i="8" s="1"/>
  <c r="R136" i="8" s="1"/>
  <c r="S136" i="8" s="1"/>
  <c r="T136" i="8" s="1"/>
  <c r="U136" i="8" s="1"/>
  <c r="V136" i="8" s="1"/>
  <c r="W136" i="8" s="1"/>
  <c r="X136" i="8" s="1"/>
  <c r="Y136" i="8" s="1"/>
  <c r="Z136" i="8" s="1"/>
  <c r="AA136" i="8" s="1"/>
  <c r="AB136" i="8" s="1"/>
  <c r="AC136" i="8" s="1"/>
  <c r="AD136" i="8" s="1"/>
  <c r="AE136" i="8" s="1"/>
  <c r="AF136" i="8" s="1"/>
  <c r="AG136" i="8" s="1"/>
  <c r="AH136" i="8" s="1"/>
  <c r="AI136" i="8" s="1"/>
  <c r="AJ136" i="8" s="1"/>
  <c r="AK136" i="8" s="1"/>
  <c r="C135" i="8"/>
  <c r="D135" i="8" s="1"/>
  <c r="E135" i="8" s="1"/>
  <c r="F135" i="8" s="1"/>
  <c r="G135" i="8" s="1"/>
  <c r="H135" i="8" s="1"/>
  <c r="I135" i="8" s="1"/>
  <c r="J135" i="8" s="1"/>
  <c r="K135" i="8" s="1"/>
  <c r="L135" i="8" s="1"/>
  <c r="M135" i="8" s="1"/>
  <c r="N135" i="8" s="1"/>
  <c r="O135" i="8" s="1"/>
  <c r="P135" i="8" s="1"/>
  <c r="Q135" i="8" s="1"/>
  <c r="C101" i="8"/>
  <c r="D101" i="8" s="1"/>
  <c r="E101" i="8" s="1"/>
  <c r="F101" i="8" s="1"/>
  <c r="G101" i="8" s="1"/>
  <c r="H101" i="8" s="1"/>
  <c r="I101" i="8" s="1"/>
  <c r="J101" i="8" s="1"/>
  <c r="K101" i="8" s="1"/>
  <c r="L101" i="8" s="1"/>
  <c r="M101" i="8" s="1"/>
  <c r="N101" i="8" s="1"/>
  <c r="O101" i="8" s="1"/>
  <c r="P101" i="8" s="1"/>
  <c r="Q101" i="8" s="1"/>
  <c r="R101" i="8" s="1"/>
  <c r="S101" i="8" s="1"/>
  <c r="T101" i="8" s="1"/>
  <c r="U101" i="8" s="1"/>
  <c r="V101" i="8" s="1"/>
  <c r="W101" i="8" s="1"/>
  <c r="X101" i="8" s="1"/>
  <c r="Y101" i="8" s="1"/>
  <c r="Z101" i="8" s="1"/>
  <c r="AA101" i="8" s="1"/>
  <c r="AB101" i="8" s="1"/>
  <c r="AC101" i="8" s="1"/>
  <c r="AD101" i="8" s="1"/>
  <c r="AE101" i="8" s="1"/>
  <c r="AF101" i="8" s="1"/>
  <c r="AG101" i="8" s="1"/>
  <c r="AH101" i="8" s="1"/>
  <c r="AI101" i="8" s="1"/>
  <c r="AJ101" i="8" s="1"/>
  <c r="AK101" i="8" s="1"/>
  <c r="C58" i="8"/>
  <c r="D58" i="8" s="1"/>
  <c r="E58" i="8" s="1"/>
  <c r="F58" i="8" s="1"/>
  <c r="G58" i="8" s="1"/>
  <c r="H58" i="8" s="1"/>
  <c r="I58" i="8" s="1"/>
  <c r="J58" i="8" s="1"/>
  <c r="K58" i="8" s="1"/>
  <c r="L58" i="8" s="1"/>
  <c r="M58" i="8" s="1"/>
  <c r="N58" i="8" s="1"/>
  <c r="O58" i="8" s="1"/>
  <c r="P58" i="8" s="1"/>
  <c r="Q58" i="8" s="1"/>
  <c r="R58" i="8" s="1"/>
  <c r="S58" i="8" s="1"/>
  <c r="T58" i="8" s="1"/>
  <c r="U58" i="8" s="1"/>
  <c r="V58" i="8" s="1"/>
  <c r="W58" i="8" s="1"/>
  <c r="X58" i="8" s="1"/>
  <c r="Y58" i="8" s="1"/>
  <c r="Z58" i="8" s="1"/>
  <c r="AA58" i="8" s="1"/>
  <c r="AB58" i="8" s="1"/>
  <c r="AC58" i="8" s="1"/>
  <c r="AD58" i="8" s="1"/>
  <c r="AE58" i="8" s="1"/>
  <c r="AF58" i="8" s="1"/>
  <c r="AG58" i="8" s="1"/>
  <c r="AH58" i="8" s="1"/>
  <c r="AI58" i="8" s="1"/>
  <c r="AJ58" i="8" s="1"/>
  <c r="AK58" i="8" s="1"/>
  <c r="C50" i="8"/>
  <c r="D50" i="8" s="1"/>
  <c r="E50" i="8" s="1"/>
  <c r="F50" i="8" s="1"/>
  <c r="G50" i="8" s="1"/>
  <c r="H50" i="8" s="1"/>
  <c r="I50" i="8" s="1"/>
  <c r="J50" i="8" s="1"/>
  <c r="K50" i="8" s="1"/>
  <c r="L50" i="8" s="1"/>
  <c r="M50" i="8" s="1"/>
  <c r="N50" i="8" s="1"/>
  <c r="O50" i="8" s="1"/>
  <c r="P50" i="8" s="1"/>
  <c r="Q50" i="8" s="1"/>
  <c r="R50" i="8" s="1"/>
  <c r="S50" i="8" s="1"/>
  <c r="T50" i="8" s="1"/>
  <c r="U50" i="8" s="1"/>
  <c r="V50" i="8" s="1"/>
  <c r="W50" i="8" s="1"/>
  <c r="X50" i="8" s="1"/>
  <c r="Y50" i="8" s="1"/>
  <c r="Z50" i="8" s="1"/>
  <c r="AA50" i="8" s="1"/>
  <c r="AB50" i="8" s="1"/>
  <c r="AC50" i="8" s="1"/>
  <c r="AD50" i="8" s="1"/>
  <c r="AE50" i="8" s="1"/>
  <c r="AF50" i="8" s="1"/>
  <c r="AG50" i="8" s="1"/>
  <c r="AH50" i="8" s="1"/>
  <c r="AI50" i="8" s="1"/>
  <c r="AJ50" i="8" s="1"/>
  <c r="AK50" i="8" s="1"/>
  <c r="C51" i="8"/>
  <c r="D51" i="8" s="1"/>
  <c r="E51" i="8" s="1"/>
  <c r="F51" i="8" s="1"/>
  <c r="G51" i="8" s="1"/>
  <c r="H51" i="8" s="1"/>
  <c r="I51" i="8" s="1"/>
  <c r="J51" i="8" s="1"/>
  <c r="K51" i="8" s="1"/>
  <c r="L51" i="8" s="1"/>
  <c r="M51" i="8" s="1"/>
  <c r="N51" i="8" s="1"/>
  <c r="O51" i="8" s="1"/>
  <c r="P51" i="8" s="1"/>
  <c r="Q51" i="8" s="1"/>
  <c r="R51" i="8" s="1"/>
  <c r="S51" i="8" s="1"/>
  <c r="T51" i="8" s="1"/>
  <c r="U51" i="8" s="1"/>
  <c r="V51" i="8" s="1"/>
  <c r="W51" i="8" s="1"/>
  <c r="X51" i="8" s="1"/>
  <c r="Y51" i="8" s="1"/>
  <c r="Z51" i="8" s="1"/>
  <c r="AA51" i="8" s="1"/>
  <c r="AB51" i="8" s="1"/>
  <c r="AC51" i="8" s="1"/>
  <c r="AD51" i="8" s="1"/>
  <c r="AE51" i="8" s="1"/>
  <c r="AF51" i="8" s="1"/>
  <c r="AG51" i="8" s="1"/>
  <c r="AH51" i="8" s="1"/>
  <c r="AI51" i="8" s="1"/>
  <c r="AJ51" i="8" s="1"/>
  <c r="AK51" i="8" s="1"/>
  <c r="C52" i="8"/>
  <c r="D52" i="8" s="1"/>
  <c r="E52" i="8" s="1"/>
  <c r="F52" i="8" s="1"/>
  <c r="G52" i="8" s="1"/>
  <c r="H52" i="8" s="1"/>
  <c r="I52" i="8" s="1"/>
  <c r="J52" i="8" s="1"/>
  <c r="K52" i="8" s="1"/>
  <c r="L52" i="8" s="1"/>
  <c r="M52" i="8" s="1"/>
  <c r="N52" i="8" s="1"/>
  <c r="O52" i="8" s="1"/>
  <c r="P52" i="8" s="1"/>
  <c r="Q52" i="8" s="1"/>
  <c r="R52" i="8" s="1"/>
  <c r="S52" i="8" s="1"/>
  <c r="T52" i="8" s="1"/>
  <c r="U52" i="8" s="1"/>
  <c r="V52" i="8" s="1"/>
  <c r="W52" i="8" s="1"/>
  <c r="X52" i="8" s="1"/>
  <c r="Y52" i="8" s="1"/>
  <c r="Z52" i="8" s="1"/>
  <c r="AA52" i="8" s="1"/>
  <c r="AB52" i="8" s="1"/>
  <c r="AC52" i="8" s="1"/>
  <c r="AD52" i="8" s="1"/>
  <c r="AE52" i="8" s="1"/>
  <c r="AF52" i="8" s="1"/>
  <c r="AG52" i="8" s="1"/>
  <c r="AH52" i="8" s="1"/>
  <c r="AI52" i="8" s="1"/>
  <c r="AJ52" i="8" s="1"/>
  <c r="AK52" i="8" s="1"/>
  <c r="C49" i="8"/>
  <c r="D49" i="8" s="1"/>
  <c r="E49" i="8" s="1"/>
  <c r="F49" i="8" s="1"/>
  <c r="G49" i="8" s="1"/>
  <c r="H49" i="8" s="1"/>
  <c r="I49" i="8" s="1"/>
  <c r="J49" i="8" s="1"/>
  <c r="K49" i="8" s="1"/>
  <c r="L49" i="8" s="1"/>
  <c r="M49" i="8" s="1"/>
  <c r="N49" i="8" s="1"/>
  <c r="O49" i="8" s="1"/>
  <c r="P49" i="8" s="1"/>
  <c r="Q49" i="8" s="1"/>
  <c r="R49" i="8" s="1"/>
  <c r="S49" i="8" s="1"/>
  <c r="T49" i="8" s="1"/>
  <c r="U49" i="8" s="1"/>
  <c r="V49" i="8" s="1"/>
  <c r="W49" i="8" s="1"/>
  <c r="X49" i="8" s="1"/>
  <c r="Y49" i="8" s="1"/>
  <c r="Z49" i="8" s="1"/>
  <c r="AA49" i="8" s="1"/>
  <c r="AB49" i="8" s="1"/>
  <c r="AC49" i="8" s="1"/>
  <c r="AD49" i="8" s="1"/>
  <c r="AE49" i="8" s="1"/>
  <c r="AF49" i="8" s="1"/>
  <c r="AG49" i="8" s="1"/>
  <c r="AH49" i="8" s="1"/>
  <c r="AI49" i="8" s="1"/>
  <c r="AJ49" i="8" s="1"/>
  <c r="AK49" i="8" s="1"/>
  <c r="C100" i="8"/>
  <c r="D100" i="8" s="1"/>
  <c r="E100" i="8" s="1"/>
  <c r="F100" i="8" s="1"/>
  <c r="G100" i="8" s="1"/>
  <c r="H100" i="8" s="1"/>
  <c r="I100" i="8" s="1"/>
  <c r="J100" i="8" s="1"/>
  <c r="K100" i="8" s="1"/>
  <c r="L100" i="8" s="1"/>
  <c r="M100" i="8" s="1"/>
  <c r="N100" i="8" s="1"/>
  <c r="O100" i="8" s="1"/>
  <c r="P100" i="8" s="1"/>
  <c r="Q100" i="8" s="1"/>
  <c r="R100" i="8" s="1"/>
  <c r="S100" i="8" s="1"/>
  <c r="T100" i="8" s="1"/>
  <c r="U100" i="8" s="1"/>
  <c r="V100" i="8" s="1"/>
  <c r="W100" i="8" s="1"/>
  <c r="X100" i="8" s="1"/>
  <c r="Y100" i="8" s="1"/>
  <c r="Z100" i="8" s="1"/>
  <c r="AA100" i="8" s="1"/>
  <c r="AB100" i="8" s="1"/>
  <c r="AC100" i="8" s="1"/>
  <c r="AD100" i="8" s="1"/>
  <c r="AE100" i="8" s="1"/>
  <c r="AF100" i="8" s="1"/>
  <c r="AG100" i="8" s="1"/>
  <c r="AH100" i="8" s="1"/>
  <c r="AI100" i="8" s="1"/>
  <c r="AJ100" i="8" s="1"/>
  <c r="AK100" i="8" s="1"/>
  <c r="C27" i="8"/>
  <c r="D27" i="8" s="1"/>
  <c r="E27" i="8" s="1"/>
  <c r="F27" i="8" s="1"/>
  <c r="G27" i="8" s="1"/>
  <c r="H27" i="8" s="1"/>
  <c r="I27" i="8" s="1"/>
  <c r="J27" i="8" s="1"/>
  <c r="K27" i="8" s="1"/>
  <c r="L27" i="8" s="1"/>
  <c r="M27" i="8" s="1"/>
  <c r="N27" i="8" s="1"/>
  <c r="O27" i="8" s="1"/>
  <c r="P27" i="8" s="1"/>
  <c r="Q27" i="8" s="1"/>
  <c r="R27" i="8" s="1"/>
  <c r="S27" i="8" s="1"/>
  <c r="T27" i="8" s="1"/>
  <c r="U27" i="8" s="1"/>
  <c r="V27" i="8" s="1"/>
  <c r="W27" i="8" s="1"/>
  <c r="X27" i="8" s="1"/>
  <c r="Y27" i="8" s="1"/>
  <c r="Z27" i="8" s="1"/>
  <c r="AA27" i="8" s="1"/>
  <c r="AB27" i="8" s="1"/>
  <c r="AC27" i="8" s="1"/>
  <c r="AD27" i="8" s="1"/>
  <c r="AE27" i="8" s="1"/>
  <c r="AF27" i="8" s="1"/>
  <c r="AG27" i="8" s="1"/>
  <c r="AH27" i="8" s="1"/>
  <c r="AI27" i="8" s="1"/>
  <c r="AJ27" i="8" s="1"/>
  <c r="AK27" i="8" s="1"/>
  <c r="C29" i="8"/>
  <c r="D29" i="8" s="1"/>
  <c r="E29" i="8" s="1"/>
  <c r="F29" i="8" s="1"/>
  <c r="G29" i="8" s="1"/>
  <c r="H29" i="8" s="1"/>
  <c r="I29" i="8" s="1"/>
  <c r="J29" i="8" s="1"/>
  <c r="K29" i="8" s="1"/>
  <c r="L29" i="8" s="1"/>
  <c r="M29" i="8" s="1"/>
  <c r="N29" i="8" s="1"/>
  <c r="O29" i="8" s="1"/>
  <c r="P29" i="8" s="1"/>
  <c r="Q29" i="8" s="1"/>
  <c r="R29" i="8" s="1"/>
  <c r="S29" i="8" s="1"/>
  <c r="T29" i="8" s="1"/>
  <c r="U29" i="8" s="1"/>
  <c r="V29" i="8" s="1"/>
  <c r="W29" i="8" s="1"/>
  <c r="X29" i="8" s="1"/>
  <c r="Y29" i="8" s="1"/>
  <c r="Z29" i="8" s="1"/>
  <c r="AA29" i="8" s="1"/>
  <c r="AB29" i="8" s="1"/>
  <c r="AC29" i="8" s="1"/>
  <c r="AD29" i="8" s="1"/>
  <c r="AE29" i="8" s="1"/>
  <c r="AF29" i="8" s="1"/>
  <c r="AG29" i="8" s="1"/>
  <c r="AH29" i="8" s="1"/>
  <c r="AI29" i="8" s="1"/>
  <c r="AJ29" i="8" s="1"/>
  <c r="AK29" i="8" s="1"/>
  <c r="C28" i="8"/>
  <c r="D28" i="8" s="1"/>
  <c r="E28" i="8" s="1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Y28" i="8" s="1"/>
  <c r="Z28" i="8" s="1"/>
  <c r="AA28" i="8" s="1"/>
  <c r="AB28" i="8" s="1"/>
  <c r="AC28" i="8" s="1"/>
  <c r="AD28" i="8" s="1"/>
  <c r="AE28" i="8" s="1"/>
  <c r="AF28" i="8" s="1"/>
  <c r="AG28" i="8" s="1"/>
  <c r="AH28" i="8" s="1"/>
  <c r="AI28" i="8" s="1"/>
  <c r="AJ28" i="8" s="1"/>
  <c r="AK28" i="8" s="1"/>
  <c r="AL13" i="27"/>
  <c r="AL10" i="27"/>
  <c r="O12" i="4"/>
  <c r="O10" i="4"/>
  <c r="O8" i="4"/>
  <c r="O6" i="4"/>
  <c r="L140" i="1"/>
  <c r="L138" i="1"/>
  <c r="X850" i="1"/>
  <c r="X849" i="1"/>
  <c r="X848" i="1"/>
  <c r="X847" i="1"/>
  <c r="X846" i="1"/>
  <c r="L507" i="1"/>
  <c r="L508" i="1"/>
  <c r="L502" i="1"/>
  <c r="L504" i="1"/>
  <c r="X897" i="1"/>
  <c r="X909" i="1"/>
  <c r="X911" i="1"/>
  <c r="L1022" i="1"/>
  <c r="L1021" i="1"/>
  <c r="L1020" i="1"/>
  <c r="L1019" i="1"/>
  <c r="L1018" i="1"/>
  <c r="L1017" i="1"/>
  <c r="L49" i="1"/>
  <c r="X49" i="1" s="1"/>
  <c r="L48" i="1"/>
  <c r="X48" i="1" s="1"/>
  <c r="P1215" i="1"/>
  <c r="W1214" i="1"/>
  <c r="P1223" i="1"/>
  <c r="W1222" i="1"/>
  <c r="W1209" i="1"/>
  <c r="W1221" i="1"/>
  <c r="P1221" i="1"/>
  <c r="W1220" i="1"/>
  <c r="Y799" i="1"/>
  <c r="Y727" i="1"/>
  <c r="Y728" i="1"/>
  <c r="Y703" i="1"/>
  <c r="Y659" i="1"/>
  <c r="Y657" i="1"/>
  <c r="Y654" i="1"/>
  <c r="Y651" i="1"/>
  <c r="W615" i="1"/>
  <c r="P615" i="1"/>
  <c r="W614" i="1"/>
  <c r="Y524" i="1"/>
  <c r="P449" i="1"/>
  <c r="Y441" i="1"/>
  <c r="X441" i="1"/>
  <c r="Y442" i="1"/>
  <c r="X442" i="1"/>
  <c r="Y444" i="1"/>
  <c r="X444" i="1"/>
  <c r="Y446" i="1"/>
  <c r="X446" i="1"/>
  <c r="Y439" i="1"/>
  <c r="X439" i="1"/>
  <c r="X437" i="1"/>
  <c r="Y440" i="1"/>
  <c r="X440" i="1"/>
  <c r="Y443" i="1"/>
  <c r="X443" i="1"/>
  <c r="Y445" i="1"/>
  <c r="X445" i="1"/>
  <c r="Y438" i="1"/>
  <c r="X438" i="1"/>
  <c r="Y289" i="1"/>
  <c r="Y290" i="1"/>
  <c r="P290" i="1"/>
  <c r="Y288" i="1"/>
  <c r="W41" i="1"/>
  <c r="P41" i="1"/>
  <c r="Y40" i="1"/>
  <c r="P40" i="1"/>
  <c r="W39" i="1"/>
  <c r="P39" i="1"/>
  <c r="P38" i="1"/>
  <c r="Y21" i="1"/>
  <c r="Y22" i="1"/>
  <c r="Y5" i="1"/>
  <c r="Y6" i="1"/>
  <c r="Y7" i="1"/>
  <c r="L136" i="1"/>
  <c r="L134" i="1"/>
  <c r="X845" i="1"/>
  <c r="X844" i="1"/>
  <c r="X843" i="1"/>
  <c r="X842" i="1"/>
  <c r="X841" i="1"/>
  <c r="L500" i="1"/>
  <c r="L501" i="1"/>
  <c r="L498" i="1"/>
  <c r="L499" i="1"/>
  <c r="L495" i="1"/>
  <c r="L497" i="1"/>
  <c r="X880" i="1"/>
  <c r="X892" i="1"/>
  <c r="X894" i="1"/>
  <c r="L1016" i="1"/>
  <c r="L1015" i="1"/>
  <c r="L1014" i="1"/>
  <c r="L1013" i="1"/>
  <c r="L1012" i="1"/>
  <c r="L1011" i="1"/>
  <c r="L47" i="1"/>
  <c r="X47" i="1" s="1"/>
  <c r="L46" i="1"/>
  <c r="X46" i="1" s="1"/>
  <c r="P1198" i="1"/>
  <c r="W1197" i="1"/>
  <c r="P1206" i="1"/>
  <c r="W1205" i="1"/>
  <c r="W1192" i="1"/>
  <c r="W1204" i="1"/>
  <c r="P1204" i="1"/>
  <c r="W1203" i="1"/>
  <c r="Y722" i="1"/>
  <c r="Y695" i="1"/>
  <c r="Y646" i="1"/>
  <c r="Y644" i="1"/>
  <c r="Y641" i="1"/>
  <c r="Y638" i="1"/>
  <c r="Y518" i="1"/>
  <c r="W448" i="1"/>
  <c r="P448" i="1"/>
  <c r="Y431" i="1"/>
  <c r="X431" i="1"/>
  <c r="Y432" i="1"/>
  <c r="X432" i="1"/>
  <c r="Y434" i="1"/>
  <c r="X434" i="1"/>
  <c r="Y436" i="1"/>
  <c r="X436" i="1"/>
  <c r="X429" i="1"/>
  <c r="X427" i="1"/>
  <c r="Y430" i="1"/>
  <c r="X430" i="1"/>
  <c r="Y433" i="1"/>
  <c r="X433" i="1"/>
  <c r="Y435" i="1"/>
  <c r="X435" i="1"/>
  <c r="Y428" i="1"/>
  <c r="X428" i="1"/>
  <c r="Y286" i="1"/>
  <c r="Y287" i="1"/>
  <c r="P287" i="1"/>
  <c r="Y285" i="1"/>
  <c r="P285" i="1"/>
  <c r="P35" i="1"/>
  <c r="Y34" i="1"/>
  <c r="P33" i="1"/>
  <c r="P32" i="1"/>
  <c r="AE15" i="1"/>
  <c r="Y15" i="1"/>
  <c r="AE16" i="1"/>
  <c r="Y16" i="1"/>
  <c r="Y421" i="1"/>
  <c r="Y422" i="1"/>
  <c r="Y424" i="1"/>
  <c r="Y426" i="1"/>
  <c r="Y419" i="1"/>
  <c r="X421" i="1"/>
  <c r="X419" i="1"/>
  <c r="X426" i="1"/>
  <c r="X424" i="1"/>
  <c r="X422" i="1"/>
  <c r="X489" i="1"/>
  <c r="X487" i="1"/>
  <c r="X492" i="1"/>
  <c r="X490" i="1"/>
  <c r="L494" i="1"/>
  <c r="X494" i="1"/>
  <c r="L493" i="1"/>
  <c r="X493" i="1"/>
  <c r="C17" i="8"/>
  <c r="D17" i="8" s="1"/>
  <c r="E17" i="8" s="1"/>
  <c r="F17" i="8" s="1"/>
  <c r="G17" i="8" s="1"/>
  <c r="C16" i="8"/>
  <c r="D16" i="8" s="1"/>
  <c r="E16" i="8" s="1"/>
  <c r="F16" i="8" s="1"/>
  <c r="G16" i="8" s="1"/>
  <c r="L132" i="1"/>
  <c r="L130" i="1"/>
  <c r="X417" i="1"/>
  <c r="X420" i="1"/>
  <c r="X423" i="1"/>
  <c r="X425" i="1"/>
  <c r="X418" i="1"/>
  <c r="X863" i="1"/>
  <c r="X875" i="1"/>
  <c r="X877" i="1"/>
  <c r="C156" i="8"/>
  <c r="D156" i="8" s="1"/>
  <c r="E156" i="8" s="1"/>
  <c r="F156" i="8" s="1"/>
  <c r="G156" i="8" s="1"/>
  <c r="H156" i="8" s="1"/>
  <c r="I156" i="8" s="1"/>
  <c r="J156" i="8" s="1"/>
  <c r="K156" i="8" s="1"/>
  <c r="L156" i="8" s="1"/>
  <c r="M156" i="8" s="1"/>
  <c r="N156" i="8" s="1"/>
  <c r="O156" i="8" s="1"/>
  <c r="P156" i="8" s="1"/>
  <c r="Q156" i="8" s="1"/>
  <c r="R156" i="8" s="1"/>
  <c r="S156" i="8" s="1"/>
  <c r="T156" i="8" s="1"/>
  <c r="U156" i="8" s="1"/>
  <c r="V156" i="8" s="1"/>
  <c r="W156" i="8" s="1"/>
  <c r="X156" i="8" s="1"/>
  <c r="Y156" i="8" s="1"/>
  <c r="Z156" i="8" s="1"/>
  <c r="AA156" i="8" s="1"/>
  <c r="AB156" i="8" s="1"/>
  <c r="AC156" i="8" s="1"/>
  <c r="AD156" i="8" s="1"/>
  <c r="AE156" i="8" s="1"/>
  <c r="N34" i="4" l="1"/>
  <c r="G22" i="4"/>
  <c r="H22" i="4" s="1"/>
  <c r="I22" i="4" s="1"/>
  <c r="J22" i="4" s="1"/>
  <c r="K22" i="4" s="1"/>
  <c r="L22" i="4" s="1"/>
  <c r="M22" i="4" s="1"/>
  <c r="N22" i="4" s="1"/>
  <c r="H85" i="8"/>
  <c r="I85" i="8" s="1"/>
  <c r="J85" i="8" s="1"/>
  <c r="K85" i="8" s="1"/>
  <c r="L85" i="8" s="1"/>
  <c r="M85" i="8" s="1"/>
  <c r="N85" i="8" s="1"/>
  <c r="O85" i="8" s="1"/>
  <c r="P85" i="8" s="1"/>
  <c r="Q85" i="8" s="1"/>
  <c r="R85" i="8" s="1"/>
  <c r="S85" i="8" s="1"/>
  <c r="T85" i="8" s="1"/>
  <c r="U85" i="8" s="1"/>
  <c r="V85" i="8" s="1"/>
  <c r="W85" i="8" s="1"/>
  <c r="X85" i="8" s="1"/>
  <c r="Y85" i="8" s="1"/>
  <c r="Z85" i="8" s="1"/>
  <c r="AA85" i="8" s="1"/>
  <c r="AB85" i="8" s="1"/>
  <c r="AC85" i="8" s="1"/>
  <c r="AD85" i="8" s="1"/>
  <c r="AE85" i="8" s="1"/>
  <c r="AF85" i="8" s="1"/>
  <c r="AG85" i="8" s="1"/>
  <c r="AH85" i="8" s="1"/>
  <c r="AI85" i="8" s="1"/>
  <c r="AJ85" i="8" s="1"/>
  <c r="AK85" i="8" s="1"/>
  <c r="G85" i="8"/>
  <c r="H118" i="8"/>
  <c r="I118" i="8" s="1"/>
  <c r="J118" i="8" s="1"/>
  <c r="K118" i="8" s="1"/>
  <c r="L118" i="8" s="1"/>
  <c r="M118" i="8" s="1"/>
  <c r="N118" i="8" s="1"/>
  <c r="O118" i="8" s="1"/>
  <c r="P118" i="8" s="1"/>
  <c r="Q118" i="8" s="1"/>
  <c r="R118" i="8" s="1"/>
  <c r="S118" i="8" s="1"/>
  <c r="T118" i="8" s="1"/>
  <c r="U118" i="8" s="1"/>
  <c r="V118" i="8" s="1"/>
  <c r="W118" i="8" s="1"/>
  <c r="X118" i="8" s="1"/>
  <c r="Y118" i="8" s="1"/>
  <c r="Z118" i="8" s="1"/>
  <c r="AA118" i="8" s="1"/>
  <c r="AB118" i="8" s="1"/>
  <c r="AC118" i="8" s="1"/>
  <c r="AD118" i="8" s="1"/>
  <c r="AE118" i="8" s="1"/>
  <c r="AF118" i="8" s="1"/>
  <c r="AG118" i="8" s="1"/>
  <c r="AH118" i="8" s="1"/>
  <c r="AI118" i="8" s="1"/>
  <c r="AJ118" i="8" s="1"/>
  <c r="AK118" i="8" s="1"/>
  <c r="E83" i="8"/>
  <c r="F83" i="8" s="1"/>
  <c r="G83" i="8" s="1"/>
  <c r="H83" i="8" s="1"/>
  <c r="I83" i="8" s="1"/>
  <c r="J83" i="8" s="1"/>
  <c r="K83" i="8" s="1"/>
  <c r="L83" i="8" s="1"/>
  <c r="M83" i="8" s="1"/>
  <c r="N83" i="8" s="1"/>
  <c r="O83" i="8" s="1"/>
  <c r="P83" i="8" s="1"/>
  <c r="Q83" i="8" s="1"/>
  <c r="R83" i="8" s="1"/>
  <c r="S83" i="8" s="1"/>
  <c r="T83" i="8" s="1"/>
  <c r="U83" i="8" s="1"/>
  <c r="V83" i="8" s="1"/>
  <c r="W83" i="8" s="1"/>
  <c r="X83" i="8" s="1"/>
  <c r="Y83" i="8" s="1"/>
  <c r="Z83" i="8" s="1"/>
  <c r="AA83" i="8" s="1"/>
  <c r="AB83" i="8" s="1"/>
  <c r="AC83" i="8" s="1"/>
  <c r="AD83" i="8" s="1"/>
  <c r="AE83" i="8" s="1"/>
  <c r="AF83" i="8" s="1"/>
  <c r="AG83" i="8" s="1"/>
  <c r="AH83" i="8" s="1"/>
  <c r="AI83" i="8" s="1"/>
  <c r="AJ83" i="8" s="1"/>
  <c r="AK83" i="8" s="1"/>
  <c r="H123" i="8"/>
  <c r="I123" i="8" s="1"/>
  <c r="J123" i="8" s="1"/>
  <c r="K123" i="8" s="1"/>
  <c r="L123" i="8" s="1"/>
  <c r="M123" i="8" s="1"/>
  <c r="N123" i="8" s="1"/>
  <c r="O123" i="8" s="1"/>
  <c r="P123" i="8" s="1"/>
  <c r="Q123" i="8" s="1"/>
  <c r="R123" i="8" s="1"/>
  <c r="S123" i="8" s="1"/>
  <c r="T123" i="8" s="1"/>
  <c r="U123" i="8" s="1"/>
  <c r="V123" i="8" s="1"/>
  <c r="W123" i="8" s="1"/>
  <c r="X123" i="8" s="1"/>
  <c r="Y123" i="8" s="1"/>
  <c r="Z123" i="8" s="1"/>
  <c r="AA123" i="8" s="1"/>
  <c r="AB123" i="8" s="1"/>
  <c r="AC123" i="8" s="1"/>
  <c r="AD123" i="8" s="1"/>
  <c r="AE123" i="8" s="1"/>
  <c r="AF123" i="8" s="1"/>
  <c r="AG123" i="8" s="1"/>
  <c r="AH123" i="8" s="1"/>
  <c r="AI123" i="8" s="1"/>
  <c r="AJ123" i="8" s="1"/>
  <c r="AK123" i="8" s="1"/>
  <c r="I124" i="8"/>
  <c r="J124" i="8" s="1"/>
  <c r="K124" i="8" s="1"/>
  <c r="L124" i="8" s="1"/>
  <c r="M124" i="8" s="1"/>
  <c r="N124" i="8" s="1"/>
  <c r="H124" i="8"/>
  <c r="G87" i="8"/>
  <c r="H87" i="8" s="1"/>
  <c r="I87" i="8" s="1"/>
  <c r="J87" i="8" s="1"/>
  <c r="K87" i="8" s="1"/>
  <c r="H121" i="8"/>
  <c r="I121" i="8" s="1"/>
  <c r="J121" i="8" s="1"/>
  <c r="K121" i="8" s="1"/>
  <c r="L121" i="8" s="1"/>
  <c r="M121" i="8" s="1"/>
  <c r="N121" i="8" s="1"/>
  <c r="G110" i="8"/>
  <c r="H110" i="8" s="1"/>
  <c r="I110" i="8" s="1"/>
  <c r="J110" i="8" s="1"/>
  <c r="F106" i="8"/>
  <c r="G106" i="8" s="1"/>
  <c r="H106" i="8" s="1"/>
  <c r="I106" i="8" s="1"/>
  <c r="J106" i="8" s="1"/>
  <c r="K106" i="8" s="1"/>
  <c r="L106" i="8" s="1"/>
  <c r="M106" i="8" s="1"/>
  <c r="N106" i="8" s="1"/>
  <c r="H122" i="8"/>
  <c r="I122" i="8" s="1"/>
  <c r="J122" i="8" s="1"/>
  <c r="K122" i="8" s="1"/>
  <c r="L122" i="8" s="1"/>
  <c r="M122" i="8" s="1"/>
  <c r="N122" i="8" s="1"/>
  <c r="O122" i="8" s="1"/>
  <c r="P122" i="8" s="1"/>
  <c r="Q122" i="8" s="1"/>
  <c r="R122" i="8" s="1"/>
  <c r="S122" i="8" s="1"/>
  <c r="T122" i="8" s="1"/>
  <c r="U122" i="8" s="1"/>
  <c r="V122" i="8" s="1"/>
  <c r="W122" i="8" s="1"/>
  <c r="X122" i="8" s="1"/>
  <c r="Y122" i="8" s="1"/>
  <c r="Z122" i="8" s="1"/>
  <c r="AA122" i="8" s="1"/>
  <c r="AB122" i="8" s="1"/>
  <c r="AC122" i="8" s="1"/>
  <c r="AD122" i="8" s="1"/>
  <c r="AE122" i="8" s="1"/>
  <c r="AF122" i="8" s="1"/>
  <c r="AG122" i="8" s="1"/>
  <c r="AH122" i="8" s="1"/>
  <c r="AI122" i="8" s="1"/>
  <c r="AJ122" i="8" s="1"/>
  <c r="AK122" i="8" s="1"/>
  <c r="F82" i="8"/>
  <c r="G82" i="8" s="1"/>
  <c r="G109" i="8"/>
  <c r="H109" i="8" s="1"/>
  <c r="I109" i="8" s="1"/>
  <c r="G9" i="8"/>
  <c r="H9" i="8" s="1"/>
  <c r="I9" i="8" s="1"/>
  <c r="J9" i="8" s="1"/>
  <c r="K9" i="8" s="1"/>
  <c r="L9" i="8" s="1"/>
  <c r="M9" i="8" s="1"/>
  <c r="N9" i="8" s="1"/>
  <c r="O9" i="8" s="1"/>
  <c r="P9" i="8" s="1"/>
  <c r="F105" i="8"/>
  <c r="G105" i="8" s="1"/>
  <c r="H105" i="8" s="1"/>
  <c r="I105" i="8" s="1"/>
  <c r="J105" i="8" s="1"/>
  <c r="K105" i="8" s="1"/>
  <c r="L105" i="8" s="1"/>
  <c r="M105" i="8" s="1"/>
  <c r="N105" i="8" s="1"/>
  <c r="M84" i="8"/>
  <c r="N84" i="8" s="1"/>
  <c r="O84" i="8" s="1"/>
  <c r="P84" i="8" s="1"/>
  <c r="Q84" i="8" s="1"/>
  <c r="R84" i="8" s="1"/>
  <c r="S84" i="8" s="1"/>
  <c r="T84" i="8" s="1"/>
  <c r="U84" i="8" s="1"/>
  <c r="V84" i="8" s="1"/>
  <c r="W84" i="8" s="1"/>
  <c r="X84" i="8" s="1"/>
  <c r="Y84" i="8" s="1"/>
  <c r="Z84" i="8" s="1"/>
  <c r="AA84" i="8" s="1"/>
  <c r="AB84" i="8" s="1"/>
  <c r="AC84" i="8" s="1"/>
  <c r="AD84" i="8" s="1"/>
  <c r="AE84" i="8" s="1"/>
  <c r="AF84" i="8" s="1"/>
  <c r="AG84" i="8" s="1"/>
  <c r="AH84" i="8" s="1"/>
  <c r="AI84" i="8" s="1"/>
  <c r="AJ84" i="8" s="1"/>
  <c r="AK84" i="8" s="1"/>
  <c r="L86" i="8"/>
  <c r="M86" i="8" s="1"/>
  <c r="N86" i="8" s="1"/>
  <c r="O86" i="8" s="1"/>
  <c r="P86" i="8" s="1"/>
  <c r="Q86" i="8" s="1"/>
  <c r="R86" i="8" s="1"/>
  <c r="S86" i="8" s="1"/>
  <c r="T86" i="8" s="1"/>
  <c r="U86" i="8" s="1"/>
  <c r="V86" i="8" s="1"/>
  <c r="W86" i="8" s="1"/>
  <c r="X86" i="8" s="1"/>
  <c r="Y86" i="8" s="1"/>
  <c r="Z86" i="8" s="1"/>
  <c r="AA86" i="8" s="1"/>
  <c r="AB86" i="8" s="1"/>
  <c r="AC86" i="8" s="1"/>
  <c r="AD86" i="8" s="1"/>
  <c r="AE86" i="8" s="1"/>
  <c r="AF86" i="8" s="1"/>
  <c r="AG86" i="8" s="1"/>
  <c r="AH86" i="8" s="1"/>
  <c r="AI86" i="8" s="1"/>
  <c r="AJ86" i="8" s="1"/>
  <c r="AK86" i="8" s="1"/>
  <c r="D122" i="4"/>
  <c r="E122" i="4" s="1"/>
  <c r="F122" i="4" s="1"/>
  <c r="G122" i="4" s="1"/>
  <c r="H122" i="4" s="1"/>
  <c r="I122" i="4" s="1"/>
  <c r="J122" i="4" s="1"/>
  <c r="D121" i="4"/>
  <c r="E121" i="4" s="1"/>
  <c r="F121" i="4" s="1"/>
  <c r="G121" i="4" s="1"/>
  <c r="H121" i="4" s="1"/>
  <c r="I121" i="4" s="1"/>
  <c r="J121" i="4" s="1"/>
  <c r="D118" i="4"/>
  <c r="E118" i="4" s="1"/>
  <c r="F118" i="4" s="1"/>
  <c r="D123" i="4"/>
  <c r="E123" i="4" s="1"/>
  <c r="F123" i="4" s="1"/>
  <c r="G123" i="4" s="1"/>
  <c r="H123" i="4" s="1"/>
  <c r="I123" i="4" s="1"/>
  <c r="J123" i="4" s="1"/>
  <c r="F88" i="8"/>
  <c r="F81" i="8"/>
  <c r="H82" i="8"/>
  <c r="I82" i="8" s="1"/>
  <c r="J82" i="8" s="1"/>
  <c r="K82" i="8" s="1"/>
  <c r="F80" i="8"/>
  <c r="I126" i="8"/>
  <c r="J126" i="8" s="1"/>
  <c r="K126" i="8" s="1"/>
  <c r="L126" i="8" s="1"/>
  <c r="M126" i="8" s="1"/>
  <c r="N126" i="8" s="1"/>
  <c r="I120" i="8"/>
  <c r="J120" i="8" s="1"/>
  <c r="K120" i="8" s="1"/>
  <c r="L120" i="8" s="1"/>
  <c r="M120" i="8" s="1"/>
  <c r="N120" i="8" s="1"/>
  <c r="I125" i="8"/>
  <c r="J125" i="8" s="1"/>
  <c r="K125" i="8" s="1"/>
  <c r="L125" i="8" s="1"/>
  <c r="M125" i="8" s="1"/>
  <c r="N125" i="8" s="1"/>
  <c r="I119" i="8"/>
  <c r="J119" i="8" s="1"/>
  <c r="K119" i="8" s="1"/>
  <c r="L119" i="8" s="1"/>
  <c r="M119" i="8" s="1"/>
  <c r="N119" i="8" s="1"/>
  <c r="P107" i="8"/>
  <c r="Q107" i="8" s="1"/>
  <c r="R107" i="8" s="1"/>
  <c r="S107" i="8" s="1"/>
  <c r="T107" i="8" s="1"/>
  <c r="U107" i="8" s="1"/>
  <c r="V107" i="8" s="1"/>
  <c r="W107" i="8" s="1"/>
  <c r="X107" i="8" s="1"/>
  <c r="Y107" i="8" s="1"/>
  <c r="Z107" i="8" s="1"/>
  <c r="AA107" i="8" s="1"/>
  <c r="AB107" i="8" s="1"/>
  <c r="AC107" i="8" s="1"/>
  <c r="AD107" i="8" s="1"/>
  <c r="AE107" i="8" s="1"/>
  <c r="AF107" i="8" s="1"/>
  <c r="AG107" i="8" s="1"/>
  <c r="AH107" i="8" s="1"/>
  <c r="AI107" i="8" s="1"/>
  <c r="AJ107" i="8" s="1"/>
  <c r="AK107" i="8" s="1"/>
  <c r="G104" i="8"/>
  <c r="H104" i="8" s="1"/>
  <c r="I104" i="8" s="1"/>
  <c r="J104" i="8" s="1"/>
  <c r="P114" i="8"/>
  <c r="Q114" i="8" s="1"/>
  <c r="R114" i="8" s="1"/>
  <c r="S114" i="8" s="1"/>
  <c r="T114" i="8" s="1"/>
  <c r="U114" i="8" s="1"/>
  <c r="V114" i="8" s="1"/>
  <c r="W114" i="8" s="1"/>
  <c r="X114" i="8" s="1"/>
  <c r="Y114" i="8" s="1"/>
  <c r="Z114" i="8" s="1"/>
  <c r="AA114" i="8" s="1"/>
  <c r="AB114" i="8" s="1"/>
  <c r="AC114" i="8" s="1"/>
  <c r="AD114" i="8" s="1"/>
  <c r="AE114" i="8" s="1"/>
  <c r="AF114" i="8" s="1"/>
  <c r="AG114" i="8" s="1"/>
  <c r="AH114" i="8" s="1"/>
  <c r="AI114" i="8" s="1"/>
  <c r="AJ114" i="8" s="1"/>
  <c r="AK114" i="8" s="1"/>
  <c r="P115" i="8"/>
  <c r="Q115" i="8" s="1"/>
  <c r="R115" i="8" s="1"/>
  <c r="S115" i="8" s="1"/>
  <c r="T115" i="8" s="1"/>
  <c r="U115" i="8" s="1"/>
  <c r="V115" i="8" s="1"/>
  <c r="W115" i="8" s="1"/>
  <c r="X115" i="8" s="1"/>
  <c r="Y115" i="8" s="1"/>
  <c r="Z115" i="8" s="1"/>
  <c r="AA115" i="8" s="1"/>
  <c r="AB115" i="8" s="1"/>
  <c r="AC115" i="8" s="1"/>
  <c r="AD115" i="8" s="1"/>
  <c r="AE115" i="8" s="1"/>
  <c r="AF115" i="8" s="1"/>
  <c r="AG115" i="8" s="1"/>
  <c r="AH115" i="8" s="1"/>
  <c r="AI115" i="8" s="1"/>
  <c r="AJ115" i="8" s="1"/>
  <c r="AK115" i="8" s="1"/>
  <c r="K110" i="8"/>
  <c r="L110" i="8" s="1"/>
  <c r="M110" i="8" s="1"/>
  <c r="N110" i="8" s="1"/>
  <c r="G108" i="8"/>
  <c r="H108" i="8" s="1"/>
  <c r="I108" i="8" s="1"/>
  <c r="J108" i="8" s="1"/>
  <c r="P117" i="8"/>
  <c r="Q117" i="8" s="1"/>
  <c r="R117" i="8" s="1"/>
  <c r="S117" i="8" s="1"/>
  <c r="T117" i="8" s="1"/>
  <c r="U117" i="8" s="1"/>
  <c r="V117" i="8" s="1"/>
  <c r="W117" i="8" s="1"/>
  <c r="X117" i="8" s="1"/>
  <c r="Y117" i="8" s="1"/>
  <c r="Z117" i="8" s="1"/>
  <c r="AA117" i="8" s="1"/>
  <c r="AB117" i="8" s="1"/>
  <c r="AC117" i="8" s="1"/>
  <c r="AD117" i="8" s="1"/>
  <c r="AE117" i="8" s="1"/>
  <c r="AF117" i="8" s="1"/>
  <c r="AG117" i="8" s="1"/>
  <c r="AH117" i="8" s="1"/>
  <c r="AI117" i="8" s="1"/>
  <c r="AJ117" i="8" s="1"/>
  <c r="AK117" i="8" s="1"/>
  <c r="P116" i="8"/>
  <c r="Q116" i="8" s="1"/>
  <c r="R116" i="8" s="1"/>
  <c r="S116" i="8" s="1"/>
  <c r="T116" i="8" s="1"/>
  <c r="U116" i="8" s="1"/>
  <c r="V116" i="8" s="1"/>
  <c r="W116" i="8" s="1"/>
  <c r="X116" i="8" s="1"/>
  <c r="Y116" i="8" s="1"/>
  <c r="Z116" i="8" s="1"/>
  <c r="AA116" i="8" s="1"/>
  <c r="AB116" i="8" s="1"/>
  <c r="AC116" i="8" s="1"/>
  <c r="AD116" i="8" s="1"/>
  <c r="AE116" i="8" s="1"/>
  <c r="AF116" i="8" s="1"/>
  <c r="AG116" i="8" s="1"/>
  <c r="AH116" i="8" s="1"/>
  <c r="AI116" i="8" s="1"/>
  <c r="AJ116" i="8" s="1"/>
  <c r="AK116" i="8" s="1"/>
  <c r="P113" i="8"/>
  <c r="Q113" i="8" s="1"/>
  <c r="R113" i="8" s="1"/>
  <c r="S113" i="8" s="1"/>
  <c r="T113" i="8" s="1"/>
  <c r="U113" i="8" s="1"/>
  <c r="V113" i="8" s="1"/>
  <c r="W113" i="8" s="1"/>
  <c r="X113" i="8" s="1"/>
  <c r="Y113" i="8" s="1"/>
  <c r="Z113" i="8" s="1"/>
  <c r="AA113" i="8" s="1"/>
  <c r="AB113" i="8" s="1"/>
  <c r="AC113" i="8" s="1"/>
  <c r="AD113" i="8" s="1"/>
  <c r="AE113" i="8" s="1"/>
  <c r="AF113" i="8" s="1"/>
  <c r="AG113" i="8" s="1"/>
  <c r="AH113" i="8" s="1"/>
  <c r="AI113" i="8" s="1"/>
  <c r="AJ113" i="8" s="1"/>
  <c r="AK113" i="8" s="1"/>
  <c r="P112" i="8"/>
  <c r="Q112" i="8" s="1"/>
  <c r="R112" i="8" s="1"/>
  <c r="S112" i="8" s="1"/>
  <c r="T112" i="8" s="1"/>
  <c r="U112" i="8" s="1"/>
  <c r="V112" i="8" s="1"/>
  <c r="W112" i="8" s="1"/>
  <c r="X112" i="8" s="1"/>
  <c r="Y112" i="8" s="1"/>
  <c r="Z112" i="8" s="1"/>
  <c r="AA112" i="8" s="1"/>
  <c r="AB112" i="8" s="1"/>
  <c r="AC112" i="8" s="1"/>
  <c r="AD112" i="8" s="1"/>
  <c r="AE112" i="8" s="1"/>
  <c r="AF112" i="8" s="1"/>
  <c r="AG112" i="8" s="1"/>
  <c r="AH112" i="8" s="1"/>
  <c r="AI112" i="8" s="1"/>
  <c r="AJ112" i="8" s="1"/>
  <c r="AK112" i="8" s="1"/>
  <c r="P111" i="8"/>
  <c r="Q111" i="8" s="1"/>
  <c r="R111" i="8" s="1"/>
  <c r="S111" i="8" s="1"/>
  <c r="T111" i="8" s="1"/>
  <c r="U111" i="8" s="1"/>
  <c r="V111" i="8" s="1"/>
  <c r="W111" i="8" s="1"/>
  <c r="X111" i="8" s="1"/>
  <c r="Y111" i="8" s="1"/>
  <c r="Z111" i="8" s="1"/>
  <c r="AA111" i="8" s="1"/>
  <c r="AB111" i="8" s="1"/>
  <c r="AC111" i="8" s="1"/>
  <c r="AD111" i="8" s="1"/>
  <c r="AE111" i="8" s="1"/>
  <c r="AF111" i="8" s="1"/>
  <c r="AG111" i="8" s="1"/>
  <c r="AH111" i="8" s="1"/>
  <c r="AI111" i="8" s="1"/>
  <c r="AJ111" i="8" s="1"/>
  <c r="AK111" i="8" s="1"/>
  <c r="F120" i="4"/>
  <c r="G120" i="4" s="1"/>
  <c r="E119" i="4"/>
  <c r="F119" i="4" s="1"/>
  <c r="G119" i="4" s="1"/>
  <c r="I114" i="4"/>
  <c r="J114" i="4" s="1"/>
  <c r="K114" i="4" s="1"/>
  <c r="L114" i="4" s="1"/>
  <c r="M114" i="4" s="1"/>
  <c r="N114" i="4" s="1"/>
  <c r="F115" i="4"/>
  <c r="F116" i="4"/>
  <c r="E117" i="4"/>
  <c r="F117" i="4" s="1"/>
  <c r="G13" i="8"/>
  <c r="H13" i="8" s="1"/>
  <c r="I13" i="8" s="1"/>
  <c r="J13" i="8" s="1"/>
  <c r="K13" i="8" s="1"/>
  <c r="L13" i="8" s="1"/>
  <c r="K11" i="8"/>
  <c r="L11" i="8" s="1"/>
  <c r="G12" i="8"/>
  <c r="H12" i="8" s="1"/>
  <c r="I12" i="8" s="1"/>
  <c r="G10" i="8"/>
  <c r="H10" i="8" s="1"/>
  <c r="I10" i="8" s="1"/>
  <c r="G8" i="8"/>
  <c r="H8" i="8" s="1"/>
  <c r="I8" i="8" s="1"/>
  <c r="J8" i="8" s="1"/>
  <c r="G186" i="8"/>
  <c r="H186" i="8" s="1"/>
  <c r="I186" i="8" s="1"/>
  <c r="J186" i="8" s="1"/>
  <c r="K186" i="8" s="1"/>
  <c r="L186" i="8" s="1"/>
  <c r="G187" i="8"/>
  <c r="H187" i="8" s="1"/>
  <c r="I187" i="8" s="1"/>
  <c r="G185" i="8"/>
  <c r="H185" i="8" s="1"/>
  <c r="I185" i="8" s="1"/>
  <c r="N129" i="4"/>
  <c r="D80" i="4"/>
  <c r="E80" i="4" s="1"/>
  <c r="F80" i="4" s="1"/>
  <c r="G80" i="4" s="1"/>
  <c r="H80" i="4" s="1"/>
  <c r="I80" i="4" s="1"/>
  <c r="J80" i="4" s="1"/>
  <c r="K80" i="4" s="1"/>
  <c r="L80" i="4" s="1"/>
  <c r="M80" i="4" s="1"/>
  <c r="N80" i="4" s="1"/>
  <c r="L357" i="1"/>
  <c r="L358" i="1" s="1"/>
  <c r="L359" i="1" s="1"/>
  <c r="L360" i="1" s="1"/>
  <c r="N85" i="4"/>
  <c r="N84" i="4"/>
  <c r="N82" i="4"/>
  <c r="N81" i="4"/>
  <c r="F57" i="4"/>
  <c r="G57" i="4" s="1"/>
  <c r="F69" i="4"/>
  <c r="G69" i="4" s="1"/>
  <c r="F75" i="4"/>
  <c r="G75" i="4" s="1"/>
  <c r="H75" i="4" s="1"/>
  <c r="I75" i="4" s="1"/>
  <c r="F79" i="4"/>
  <c r="G79" i="4" s="1"/>
  <c r="F73" i="4"/>
  <c r="G73" i="4" s="1"/>
  <c r="F61" i="4"/>
  <c r="G61" i="4" s="1"/>
  <c r="E72" i="4"/>
  <c r="E68" i="4"/>
  <c r="E56" i="4"/>
  <c r="F65" i="4"/>
  <c r="G65" i="4" s="1"/>
  <c r="E64" i="4"/>
  <c r="F64" i="4" s="1"/>
  <c r="G64" i="4" s="1"/>
  <c r="D77" i="4"/>
  <c r="E77" i="4" s="1"/>
  <c r="H67" i="4"/>
  <c r="I67" i="4" s="1"/>
  <c r="D58" i="4"/>
  <c r="E58" i="4" s="1"/>
  <c r="D66" i="4"/>
  <c r="E66" i="4" s="1"/>
  <c r="F66" i="4" s="1"/>
  <c r="G66" i="4" s="1"/>
  <c r="H141" i="8"/>
  <c r="I141" i="8" s="1"/>
  <c r="J141" i="8" s="1"/>
  <c r="K141" i="8" s="1"/>
  <c r="L141" i="8" s="1"/>
  <c r="M141" i="8" s="1"/>
  <c r="N141" i="8" s="1"/>
  <c r="H35" i="8"/>
  <c r="I35" i="8" s="1"/>
  <c r="J35" i="8" s="1"/>
  <c r="K35" i="8" s="1"/>
  <c r="L35" i="8" s="1"/>
  <c r="M35" i="8" s="1"/>
  <c r="N35" i="8" s="1"/>
  <c r="F140" i="8"/>
  <c r="F39" i="8"/>
  <c r="G39" i="8" s="1"/>
  <c r="H39" i="8" s="1"/>
  <c r="I39" i="8" s="1"/>
  <c r="J39" i="8" s="1"/>
  <c r="K39" i="8" s="1"/>
  <c r="L39" i="8" s="1"/>
  <c r="M39" i="8" s="1"/>
  <c r="N39" i="8" s="1"/>
  <c r="O39" i="8" s="1"/>
  <c r="P39" i="8" s="1"/>
  <c r="Q39" i="8" s="1"/>
  <c r="R39" i="8" s="1"/>
  <c r="S39" i="8" s="1"/>
  <c r="T39" i="8" s="1"/>
  <c r="U39" i="8" s="1"/>
  <c r="V39" i="8" s="1"/>
  <c r="W39" i="8" s="1"/>
  <c r="X39" i="8" s="1"/>
  <c r="Y39" i="8" s="1"/>
  <c r="Z39" i="8" s="1"/>
  <c r="AA39" i="8" s="1"/>
  <c r="AB39" i="8" s="1"/>
  <c r="AC39" i="8" s="1"/>
  <c r="AD39" i="8" s="1"/>
  <c r="AE39" i="8" s="1"/>
  <c r="AF39" i="8" s="1"/>
  <c r="AG39" i="8" s="1"/>
  <c r="AH39" i="8" s="1"/>
  <c r="AI39" i="8" s="1"/>
  <c r="AJ39" i="8" s="1"/>
  <c r="AK39" i="8" s="1"/>
  <c r="M144" i="8"/>
  <c r="N144" i="8" s="1"/>
  <c r="O144" i="8" s="1"/>
  <c r="P144" i="8" s="1"/>
  <c r="Q144" i="8" s="1"/>
  <c r="R144" i="8" s="1"/>
  <c r="H146" i="8"/>
  <c r="I146" i="8" s="1"/>
  <c r="J146" i="8" s="1"/>
  <c r="K146" i="8" s="1"/>
  <c r="L146" i="8" s="1"/>
  <c r="M146" i="8" s="1"/>
  <c r="N146" i="8" s="1"/>
  <c r="O146" i="8" s="1"/>
  <c r="P146" i="8" s="1"/>
  <c r="Q146" i="8" s="1"/>
  <c r="R146" i="8" s="1"/>
  <c r="F38" i="8"/>
  <c r="G38" i="8" s="1"/>
  <c r="H38" i="8" s="1"/>
  <c r="I38" i="8" s="1"/>
  <c r="J38" i="8" s="1"/>
  <c r="G59" i="4"/>
  <c r="G71" i="4"/>
  <c r="G63" i="4"/>
  <c r="E74" i="4"/>
  <c r="E60" i="4"/>
  <c r="D76" i="4"/>
  <c r="E76" i="4" s="1"/>
  <c r="F76" i="4" s="1"/>
  <c r="G76" i="4" s="1"/>
  <c r="E78" i="4"/>
  <c r="G41" i="8"/>
  <c r="H41" i="8" s="1"/>
  <c r="G37" i="8"/>
  <c r="H37" i="8" s="1"/>
  <c r="J40" i="8"/>
  <c r="F36" i="8"/>
  <c r="AH139" i="8"/>
  <c r="AI139" i="8" s="1"/>
  <c r="AJ139" i="8" s="1"/>
  <c r="AK139" i="8" s="1"/>
  <c r="R135" i="8"/>
  <c r="I143" i="8"/>
  <c r="J143" i="8" s="1"/>
  <c r="K143" i="8" s="1"/>
  <c r="L143" i="8" s="1"/>
  <c r="M143" i="8" s="1"/>
  <c r="N143" i="8" s="1"/>
  <c r="F142" i="8"/>
  <c r="H145" i="8"/>
  <c r="P60" i="8"/>
  <c r="Q60" i="8" s="1"/>
  <c r="R60" i="8" s="1"/>
  <c r="M61" i="8"/>
  <c r="N61" i="8" s="1"/>
  <c r="H72" i="8"/>
  <c r="I72" i="8" s="1"/>
  <c r="J72" i="8" s="1"/>
  <c r="K72" i="8" s="1"/>
  <c r="L72" i="8" s="1"/>
  <c r="M72" i="8" s="1"/>
  <c r="N72" i="8" s="1"/>
  <c r="O72" i="8" s="1"/>
  <c r="P72" i="8" s="1"/>
  <c r="Q72" i="8" s="1"/>
  <c r="R72" i="8" s="1"/>
  <c r="S72" i="8" s="1"/>
  <c r="T72" i="8" s="1"/>
  <c r="U72" i="8" s="1"/>
  <c r="V72" i="8" s="1"/>
  <c r="W72" i="8" s="1"/>
  <c r="X72" i="8" s="1"/>
  <c r="Y72" i="8" s="1"/>
  <c r="Z72" i="8" s="1"/>
  <c r="AA72" i="8" s="1"/>
  <c r="AB72" i="8" s="1"/>
  <c r="AC72" i="8" s="1"/>
  <c r="AD72" i="8" s="1"/>
  <c r="AE72" i="8" s="1"/>
  <c r="AF72" i="8" s="1"/>
  <c r="AG72" i="8" s="1"/>
  <c r="AH72" i="8" s="1"/>
  <c r="AI72" i="8" s="1"/>
  <c r="AJ72" i="8" s="1"/>
  <c r="AK72" i="8" s="1"/>
  <c r="D128" i="8"/>
  <c r="E128" i="8" s="1"/>
  <c r="F128" i="8" s="1"/>
  <c r="G128" i="8" s="1"/>
  <c r="H128" i="8" s="1"/>
  <c r="I128" i="8" s="1"/>
  <c r="J67" i="8"/>
  <c r="K67" i="8" s="1"/>
  <c r="L67" i="8" s="1"/>
  <c r="M67" i="8" s="1"/>
  <c r="N67" i="8" s="1"/>
  <c r="O67" i="8" s="1"/>
  <c r="G127" i="8"/>
  <c r="H127" i="8" s="1"/>
  <c r="I127" i="8" s="1"/>
  <c r="J127" i="8" s="1"/>
  <c r="K127" i="8" s="1"/>
  <c r="L127" i="8" s="1"/>
  <c r="H62" i="8"/>
  <c r="I62" i="8" s="1"/>
  <c r="J62" i="8" s="1"/>
  <c r="K62" i="8" s="1"/>
  <c r="L62" i="8" s="1"/>
  <c r="M62" i="8" s="1"/>
  <c r="N62" i="8" s="1"/>
  <c r="H77" i="8"/>
  <c r="I77" i="8" s="1"/>
  <c r="J77" i="8" s="1"/>
  <c r="K77" i="8" s="1"/>
  <c r="L77" i="8" s="1"/>
  <c r="M77" i="8" s="1"/>
  <c r="N77" i="8" s="1"/>
  <c r="O77" i="8" s="1"/>
  <c r="P77" i="8" s="1"/>
  <c r="Q77" i="8" s="1"/>
  <c r="R77" i="8" s="1"/>
  <c r="S77" i="8" s="1"/>
  <c r="T77" i="8" s="1"/>
  <c r="U77" i="8" s="1"/>
  <c r="V77" i="8" s="1"/>
  <c r="W77" i="8" s="1"/>
  <c r="X77" i="8" s="1"/>
  <c r="Y77" i="8" s="1"/>
  <c r="Z77" i="8" s="1"/>
  <c r="AA77" i="8" s="1"/>
  <c r="AB77" i="8" s="1"/>
  <c r="AC77" i="8" s="1"/>
  <c r="AD77" i="8" s="1"/>
  <c r="AE77" i="8" s="1"/>
  <c r="AF77" i="8" s="1"/>
  <c r="AG77" i="8" s="1"/>
  <c r="AH77" i="8" s="1"/>
  <c r="AI77" i="8" s="1"/>
  <c r="AJ77" i="8" s="1"/>
  <c r="AK77" i="8" s="1"/>
  <c r="D151" i="8"/>
  <c r="E151" i="8" s="1"/>
  <c r="F151" i="8" s="1"/>
  <c r="G151" i="8" s="1"/>
  <c r="H151" i="8" s="1"/>
  <c r="I151" i="8" s="1"/>
  <c r="J151" i="8" s="1"/>
  <c r="K151" i="8" s="1"/>
  <c r="L151" i="8" s="1"/>
  <c r="M151" i="8" s="1"/>
  <c r="N151" i="8" s="1"/>
  <c r="O151" i="8" s="1"/>
  <c r="P151" i="8" s="1"/>
  <c r="Q151" i="8" s="1"/>
  <c r="R151" i="8" s="1"/>
  <c r="S151" i="8" s="1"/>
  <c r="T151" i="8" s="1"/>
  <c r="U151" i="8" s="1"/>
  <c r="V151" i="8" s="1"/>
  <c r="W151" i="8" s="1"/>
  <c r="X151" i="8" s="1"/>
  <c r="Y151" i="8" s="1"/>
  <c r="Z151" i="8" s="1"/>
  <c r="AA151" i="8" s="1"/>
  <c r="AB151" i="8" s="1"/>
  <c r="AC151" i="8" s="1"/>
  <c r="AD151" i="8" s="1"/>
  <c r="AE151" i="8" s="1"/>
  <c r="AF151" i="8" s="1"/>
  <c r="AG151" i="8" s="1"/>
  <c r="AH151" i="8" s="1"/>
  <c r="AI151" i="8" s="1"/>
  <c r="AJ151" i="8" s="1"/>
  <c r="AK151" i="8" s="1"/>
  <c r="G132" i="8"/>
  <c r="H132" i="8" s="1"/>
  <c r="I132" i="8" s="1"/>
  <c r="J132" i="8" s="1"/>
  <c r="K132" i="8" s="1"/>
  <c r="L131" i="8"/>
  <c r="M131" i="8" s="1"/>
  <c r="N131" i="8" s="1"/>
  <c r="O131" i="8" s="1"/>
  <c r="P131" i="8" s="1"/>
  <c r="Q131" i="8" s="1"/>
  <c r="R131" i="8" s="1"/>
  <c r="L130" i="8"/>
  <c r="M130" i="8" s="1"/>
  <c r="N130" i="8" s="1"/>
  <c r="O130" i="8" s="1"/>
  <c r="P130" i="8" s="1"/>
  <c r="Q130" i="8" s="1"/>
  <c r="R130" i="8" s="1"/>
  <c r="G129" i="8"/>
  <c r="H129" i="8" s="1"/>
  <c r="I129" i="8" s="1"/>
  <c r="J129" i="8" s="1"/>
  <c r="K129" i="8" s="1"/>
  <c r="S7" i="9"/>
  <c r="E173" i="4"/>
  <c r="F173" i="4" s="1"/>
  <c r="G173" i="4" s="1"/>
  <c r="H173" i="4" s="1"/>
  <c r="J163" i="4"/>
  <c r="K163" i="4" s="1"/>
  <c r="L163" i="4" s="1"/>
  <c r="M163" i="4" s="1"/>
  <c r="N163" i="4" s="1"/>
  <c r="H143" i="4"/>
  <c r="I143" i="4" s="1"/>
  <c r="J143" i="4" s="1"/>
  <c r="F156" i="4"/>
  <c r="G156" i="4" s="1"/>
  <c r="H156" i="4" s="1"/>
  <c r="I156" i="4" s="1"/>
  <c r="J156" i="4" s="1"/>
  <c r="K156" i="4" s="1"/>
  <c r="L156" i="4" s="1"/>
  <c r="M156" i="4" s="1"/>
  <c r="N156" i="4" s="1"/>
  <c r="E168" i="4"/>
  <c r="F168" i="4" s="1"/>
  <c r="G168" i="4" s="1"/>
  <c r="H168" i="4" s="1"/>
  <c r="I168" i="4" s="1"/>
  <c r="J168" i="4" s="1"/>
  <c r="K168" i="4" s="1"/>
  <c r="L168" i="4" s="1"/>
  <c r="M168" i="4" s="1"/>
  <c r="N168" i="4" s="1"/>
  <c r="G175" i="4"/>
  <c r="H174" i="4"/>
  <c r="F172" i="4"/>
  <c r="G172" i="4" s="1"/>
  <c r="H172" i="4" s="1"/>
  <c r="I172" i="4" s="1"/>
  <c r="J172" i="4" s="1"/>
  <c r="K172" i="4" s="1"/>
  <c r="L172" i="4" s="1"/>
  <c r="M172" i="4" s="1"/>
  <c r="N172" i="4" s="1"/>
  <c r="H171" i="4"/>
  <c r="I171" i="4" s="1"/>
  <c r="J171" i="4" s="1"/>
  <c r="K171" i="4" s="1"/>
  <c r="L171" i="4" s="1"/>
  <c r="M171" i="4" s="1"/>
  <c r="N171" i="4" s="1"/>
  <c r="L160" i="4"/>
  <c r="M160" i="4" s="1"/>
  <c r="N160" i="4" s="1"/>
  <c r="J159" i="4"/>
  <c r="N158" i="4"/>
  <c r="F157" i="4"/>
  <c r="G157" i="4" s="1"/>
  <c r="H157" i="4" s="1"/>
  <c r="I157" i="4" s="1"/>
  <c r="J157" i="4" s="1"/>
  <c r="K157" i="4" s="1"/>
  <c r="L157" i="4" s="1"/>
  <c r="M157" i="4" s="1"/>
  <c r="N157" i="4" s="1"/>
  <c r="I145" i="4"/>
  <c r="J145" i="4" s="1"/>
  <c r="K145" i="4" s="1"/>
  <c r="L145" i="4" s="1"/>
  <c r="M145" i="4" s="1"/>
  <c r="N145" i="4" s="1"/>
  <c r="J144" i="4"/>
  <c r="K144" i="4" s="1"/>
  <c r="L144" i="4" s="1"/>
  <c r="M144" i="4" s="1"/>
  <c r="N144" i="4" s="1"/>
  <c r="F142" i="4"/>
  <c r="G142" i="4" s="1"/>
  <c r="H142" i="4" s="1"/>
  <c r="I142" i="4" s="1"/>
  <c r="J142" i="4" s="1"/>
  <c r="K142" i="4" s="1"/>
  <c r="L142" i="4" s="1"/>
  <c r="M142" i="4" s="1"/>
  <c r="N142" i="4" s="1"/>
  <c r="J141" i="4"/>
  <c r="K141" i="4" s="1"/>
  <c r="L141" i="4" s="1"/>
  <c r="M141" i="4" s="1"/>
  <c r="N141" i="4" s="1"/>
  <c r="K178" i="4"/>
  <c r="L178" i="4" s="1"/>
  <c r="M178" i="4" s="1"/>
  <c r="N178" i="4" s="1"/>
  <c r="L176" i="4"/>
  <c r="M176" i="4" s="1"/>
  <c r="N176" i="4" s="1"/>
  <c r="I183" i="4"/>
  <c r="K177" i="4"/>
  <c r="L177" i="4" s="1"/>
  <c r="M177" i="4" s="1"/>
  <c r="N177" i="4" s="1"/>
  <c r="J182" i="4"/>
  <c r="K181" i="4"/>
  <c r="L181" i="4" s="1"/>
  <c r="M181" i="4" s="1"/>
  <c r="N181" i="4" s="1"/>
  <c r="J180" i="4"/>
  <c r="J179" i="4"/>
  <c r="K179" i="4" s="1"/>
  <c r="L179" i="4" s="1"/>
  <c r="M179" i="4" s="1"/>
  <c r="N179" i="4" s="1"/>
  <c r="N161" i="4"/>
  <c r="N165" i="4"/>
  <c r="M164" i="4"/>
  <c r="N164" i="4" s="1"/>
  <c r="N162" i="4"/>
  <c r="L167" i="4"/>
  <c r="M167" i="4" s="1"/>
  <c r="N167" i="4" s="1"/>
  <c r="L166" i="4"/>
  <c r="M166" i="4" s="1"/>
  <c r="N166" i="4" s="1"/>
  <c r="K147" i="4"/>
  <c r="L147" i="4" s="1"/>
  <c r="M147" i="4" s="1"/>
  <c r="N147" i="4" s="1"/>
  <c r="J150" i="4"/>
  <c r="K150" i="4" s="1"/>
  <c r="L150" i="4" s="1"/>
  <c r="M150" i="4" s="1"/>
  <c r="N150" i="4" s="1"/>
  <c r="J149" i="4"/>
  <c r="K149" i="4" s="1"/>
  <c r="L149" i="4" s="1"/>
  <c r="M149" i="4" s="1"/>
  <c r="N149" i="4" s="1"/>
  <c r="J148" i="4"/>
  <c r="K148" i="4" s="1"/>
  <c r="L148" i="4" s="1"/>
  <c r="M148" i="4" s="1"/>
  <c r="N148" i="4" s="1"/>
  <c r="F151" i="4"/>
  <c r="F153" i="4"/>
  <c r="F152" i="4"/>
  <c r="K146" i="4"/>
  <c r="L146" i="4" s="1"/>
  <c r="M146" i="4" s="1"/>
  <c r="N146" i="4" s="1"/>
  <c r="L170" i="4"/>
  <c r="M170" i="4" s="1"/>
  <c r="N170" i="4" s="1"/>
  <c r="L169" i="4"/>
  <c r="N154" i="4"/>
  <c r="J139" i="4"/>
  <c r="K139" i="4" s="1"/>
  <c r="L139" i="4" s="1"/>
  <c r="M139" i="4" s="1"/>
  <c r="N139" i="4" s="1"/>
  <c r="E90" i="4"/>
  <c r="F90" i="4" s="1"/>
  <c r="G90" i="4" s="1"/>
  <c r="H90" i="4" s="1"/>
  <c r="I90" i="4" s="1"/>
  <c r="J90" i="4" s="1"/>
  <c r="K90" i="4" s="1"/>
  <c r="L90" i="4" s="1"/>
  <c r="M90" i="4" s="1"/>
  <c r="N90" i="4" s="1"/>
  <c r="D202" i="4"/>
  <c r="E202" i="4" s="1"/>
  <c r="F202" i="4" s="1"/>
  <c r="G202" i="4" s="1"/>
  <c r="D191" i="4"/>
  <c r="E191" i="4" s="1"/>
  <c r="F191" i="4" s="1"/>
  <c r="G191" i="4" s="1"/>
  <c r="H191" i="4" s="1"/>
  <c r="I191" i="4" s="1"/>
  <c r="E192" i="4"/>
  <c r="N196" i="4"/>
  <c r="I199" i="4"/>
  <c r="G201" i="4"/>
  <c r="G185" i="4"/>
  <c r="H185" i="4" s="1"/>
  <c r="I185" i="4" s="1"/>
  <c r="J185" i="4" s="1"/>
  <c r="K185" i="4" s="1"/>
  <c r="L185" i="4" s="1"/>
  <c r="M185" i="4" s="1"/>
  <c r="N185" i="4" s="1"/>
  <c r="E150" i="8"/>
  <c r="F150" i="8" s="1"/>
  <c r="H149" i="8"/>
  <c r="I149" i="8" s="1"/>
  <c r="J78" i="8"/>
  <c r="K78" i="8" s="1"/>
  <c r="L78" i="8" s="1"/>
  <c r="M78" i="8" s="1"/>
  <c r="N78" i="8" s="1"/>
  <c r="O78" i="8" s="1"/>
  <c r="P78" i="8" s="1"/>
  <c r="Q78" i="8" s="1"/>
  <c r="R78" i="8" s="1"/>
  <c r="S78" i="8" s="1"/>
  <c r="T78" i="8" s="1"/>
  <c r="U78" i="8" s="1"/>
  <c r="V78" i="8" s="1"/>
  <c r="W78" i="8" s="1"/>
  <c r="X78" i="8" s="1"/>
  <c r="Y78" i="8" s="1"/>
  <c r="Z78" i="8" s="1"/>
  <c r="AA78" i="8" s="1"/>
  <c r="AB78" i="8" s="1"/>
  <c r="AC78" i="8" s="1"/>
  <c r="AD78" i="8" s="1"/>
  <c r="AE78" i="8" s="1"/>
  <c r="AF78" i="8" s="1"/>
  <c r="AG78" i="8" s="1"/>
  <c r="AH78" i="8" s="1"/>
  <c r="AI78" i="8" s="1"/>
  <c r="AJ78" i="8" s="1"/>
  <c r="AK78" i="8" s="1"/>
  <c r="R76" i="8"/>
  <c r="S76" i="8" s="1"/>
  <c r="T76" i="8" s="1"/>
  <c r="U76" i="8" s="1"/>
  <c r="V76" i="8" s="1"/>
  <c r="W76" i="8" s="1"/>
  <c r="X76" i="8" s="1"/>
  <c r="Y76" i="8" s="1"/>
  <c r="Z76" i="8" s="1"/>
  <c r="AA76" i="8" s="1"/>
  <c r="AB76" i="8" s="1"/>
  <c r="AC76" i="8" s="1"/>
  <c r="AD76" i="8" s="1"/>
  <c r="AE76" i="8" s="1"/>
  <c r="AF76" i="8" s="1"/>
  <c r="AG76" i="8" s="1"/>
  <c r="AH76" i="8" s="1"/>
  <c r="AI76" i="8" s="1"/>
  <c r="AJ76" i="8" s="1"/>
  <c r="AK76" i="8" s="1"/>
  <c r="R75" i="8"/>
  <c r="S75" i="8" s="1"/>
  <c r="T75" i="8" s="1"/>
  <c r="U75" i="8" s="1"/>
  <c r="V75" i="8" s="1"/>
  <c r="W75" i="8" s="1"/>
  <c r="X75" i="8" s="1"/>
  <c r="Y75" i="8" s="1"/>
  <c r="Z75" i="8" s="1"/>
  <c r="AA75" i="8" s="1"/>
  <c r="AB75" i="8" s="1"/>
  <c r="AC75" i="8" s="1"/>
  <c r="AD75" i="8" s="1"/>
  <c r="AE75" i="8" s="1"/>
  <c r="AF75" i="8" s="1"/>
  <c r="AG75" i="8" s="1"/>
  <c r="AH75" i="8" s="1"/>
  <c r="AI75" i="8" s="1"/>
  <c r="AJ75" i="8" s="1"/>
  <c r="AK75" i="8" s="1"/>
  <c r="R74" i="8"/>
  <c r="S74" i="8" s="1"/>
  <c r="T74" i="8" s="1"/>
  <c r="U74" i="8" s="1"/>
  <c r="V74" i="8" s="1"/>
  <c r="W74" i="8" s="1"/>
  <c r="X74" i="8" s="1"/>
  <c r="Y74" i="8" s="1"/>
  <c r="Z74" i="8" s="1"/>
  <c r="AA74" i="8" s="1"/>
  <c r="AB74" i="8" s="1"/>
  <c r="AC74" i="8" s="1"/>
  <c r="AD74" i="8" s="1"/>
  <c r="AE74" i="8" s="1"/>
  <c r="AF74" i="8" s="1"/>
  <c r="AG74" i="8" s="1"/>
  <c r="AH74" i="8" s="1"/>
  <c r="AI74" i="8" s="1"/>
  <c r="AJ74" i="8" s="1"/>
  <c r="AK74" i="8" s="1"/>
  <c r="R73" i="8"/>
  <c r="S73" i="8" s="1"/>
  <c r="T73" i="8" s="1"/>
  <c r="U73" i="8" s="1"/>
  <c r="V73" i="8" s="1"/>
  <c r="W73" i="8" s="1"/>
  <c r="X73" i="8" s="1"/>
  <c r="Y73" i="8" s="1"/>
  <c r="Z73" i="8" s="1"/>
  <c r="AA73" i="8" s="1"/>
  <c r="AB73" i="8" s="1"/>
  <c r="AC73" i="8" s="1"/>
  <c r="AD73" i="8" s="1"/>
  <c r="AE73" i="8" s="1"/>
  <c r="AF73" i="8" s="1"/>
  <c r="AG73" i="8" s="1"/>
  <c r="AH73" i="8" s="1"/>
  <c r="AI73" i="8" s="1"/>
  <c r="AJ73" i="8" s="1"/>
  <c r="AK73" i="8" s="1"/>
  <c r="R63" i="8"/>
  <c r="S63" i="8" s="1"/>
  <c r="T63" i="8" s="1"/>
  <c r="U63" i="8" s="1"/>
  <c r="V63" i="8" s="1"/>
  <c r="W63" i="8" s="1"/>
  <c r="X63" i="8" s="1"/>
  <c r="Y63" i="8" s="1"/>
  <c r="Z63" i="8" s="1"/>
  <c r="AA63" i="8" s="1"/>
  <c r="AB63" i="8" s="1"/>
  <c r="AC63" i="8" s="1"/>
  <c r="AD63" i="8" s="1"/>
  <c r="AE63" i="8" s="1"/>
  <c r="AF63" i="8" s="1"/>
  <c r="AG63" i="8" s="1"/>
  <c r="AH63" i="8" s="1"/>
  <c r="AI63" i="8" s="1"/>
  <c r="AJ63" i="8" s="1"/>
  <c r="AK63" i="8" s="1"/>
  <c r="J70" i="8"/>
  <c r="K70" i="8" s="1"/>
  <c r="L70" i="8" s="1"/>
  <c r="M70" i="8" s="1"/>
  <c r="N70" i="8" s="1"/>
  <c r="O70" i="8" s="1"/>
  <c r="P70" i="8" s="1"/>
  <c r="Q70" i="8" s="1"/>
  <c r="R70" i="8" s="1"/>
  <c r="S70" i="8" s="1"/>
  <c r="T70" i="8" s="1"/>
  <c r="U70" i="8" s="1"/>
  <c r="V70" i="8" s="1"/>
  <c r="W70" i="8" s="1"/>
  <c r="X70" i="8" s="1"/>
  <c r="Y70" i="8" s="1"/>
  <c r="Z70" i="8" s="1"/>
  <c r="AA70" i="8" s="1"/>
  <c r="AB70" i="8" s="1"/>
  <c r="AC70" i="8" s="1"/>
  <c r="AD70" i="8" s="1"/>
  <c r="AE70" i="8" s="1"/>
  <c r="AF70" i="8" s="1"/>
  <c r="AG70" i="8" s="1"/>
  <c r="AH70" i="8" s="1"/>
  <c r="AI70" i="8" s="1"/>
  <c r="AJ70" i="8" s="1"/>
  <c r="AK70" i="8" s="1"/>
  <c r="J69" i="8"/>
  <c r="K69" i="8" s="1"/>
  <c r="L69" i="8" s="1"/>
  <c r="M69" i="8" s="1"/>
  <c r="N69" i="8" s="1"/>
  <c r="O69" i="8" s="1"/>
  <c r="P69" i="8" s="1"/>
  <c r="Q69" i="8" s="1"/>
  <c r="R69" i="8" s="1"/>
  <c r="S69" i="8" s="1"/>
  <c r="T69" i="8" s="1"/>
  <c r="U69" i="8" s="1"/>
  <c r="V69" i="8" s="1"/>
  <c r="W69" i="8" s="1"/>
  <c r="X69" i="8" s="1"/>
  <c r="Y69" i="8" s="1"/>
  <c r="Z69" i="8" s="1"/>
  <c r="AA69" i="8" s="1"/>
  <c r="AB69" i="8" s="1"/>
  <c r="AC69" i="8" s="1"/>
  <c r="AD69" i="8" s="1"/>
  <c r="AE69" i="8" s="1"/>
  <c r="AF69" i="8" s="1"/>
  <c r="AG69" i="8" s="1"/>
  <c r="AH69" i="8" s="1"/>
  <c r="AI69" i="8" s="1"/>
  <c r="AJ69" i="8" s="1"/>
  <c r="AK69" i="8" s="1"/>
  <c r="J68" i="8"/>
  <c r="K68" i="8" s="1"/>
  <c r="L68" i="8" s="1"/>
  <c r="M68" i="8" s="1"/>
  <c r="N68" i="8" s="1"/>
  <c r="O68" i="8" s="1"/>
  <c r="P68" i="8" s="1"/>
  <c r="Q68" i="8" s="1"/>
  <c r="R68" i="8" s="1"/>
  <c r="S68" i="8" s="1"/>
  <c r="T68" i="8" s="1"/>
  <c r="U68" i="8" s="1"/>
  <c r="V68" i="8" s="1"/>
  <c r="W68" i="8" s="1"/>
  <c r="X68" i="8" s="1"/>
  <c r="Y68" i="8" s="1"/>
  <c r="Z68" i="8" s="1"/>
  <c r="AA68" i="8" s="1"/>
  <c r="AB68" i="8" s="1"/>
  <c r="AC68" i="8" s="1"/>
  <c r="AD68" i="8" s="1"/>
  <c r="AE68" i="8" s="1"/>
  <c r="AF68" i="8" s="1"/>
  <c r="AG68" i="8" s="1"/>
  <c r="AH68" i="8" s="1"/>
  <c r="AI68" i="8" s="1"/>
  <c r="AJ68" i="8" s="1"/>
  <c r="AK68" i="8" s="1"/>
  <c r="P67" i="8"/>
  <c r="Q67" i="8" s="1"/>
  <c r="R67" i="8" s="1"/>
  <c r="S67" i="8" s="1"/>
  <c r="T67" i="8" s="1"/>
  <c r="H17" i="8"/>
  <c r="I17" i="8" s="1"/>
  <c r="J17" i="8" s="1"/>
  <c r="K17" i="8" s="1"/>
  <c r="L17" i="8" s="1"/>
  <c r="M17" i="8" s="1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AE17" i="8" s="1"/>
  <c r="AF17" i="8" s="1"/>
  <c r="AG17" i="8" s="1"/>
  <c r="AH17" i="8" s="1"/>
  <c r="AI17" i="8" s="1"/>
  <c r="AJ17" i="8" s="1"/>
  <c r="AK17" i="8" s="1"/>
  <c r="H16" i="8"/>
  <c r="I16" i="8" s="1"/>
  <c r="J16" i="8" s="1"/>
  <c r="K16" i="8" s="1"/>
  <c r="AF156" i="8"/>
  <c r="AG156" i="8" s="1"/>
  <c r="AH156" i="8" s="1"/>
  <c r="AI156" i="8" s="1"/>
  <c r="AJ156" i="8" s="1"/>
  <c r="AK156" i="8" s="1"/>
  <c r="C155" i="8"/>
  <c r="D155" i="8" s="1"/>
  <c r="E155" i="8" s="1"/>
  <c r="F155" i="8" s="1"/>
  <c r="G155" i="8" s="1"/>
  <c r="H155" i="8" s="1"/>
  <c r="C154" i="8"/>
  <c r="D154" i="8" s="1"/>
  <c r="E154" i="8" s="1"/>
  <c r="F154" i="8" s="1"/>
  <c r="G154" i="8" s="1"/>
  <c r="H154" i="8" s="1"/>
  <c r="C153" i="8"/>
  <c r="D153" i="8" s="1"/>
  <c r="E153" i="8" s="1"/>
  <c r="F153" i="8" s="1"/>
  <c r="G153" i="8" s="1"/>
  <c r="H153" i="8" s="1"/>
  <c r="C152" i="8"/>
  <c r="D152" i="8" s="1"/>
  <c r="E152" i="8" s="1"/>
  <c r="F152" i="8" s="1"/>
  <c r="G152" i="8" s="1"/>
  <c r="H152" i="8" s="1"/>
  <c r="C91" i="8"/>
  <c r="D91" i="8" s="1"/>
  <c r="E91" i="8" s="1"/>
  <c r="F91" i="8" s="1"/>
  <c r="G91" i="8" s="1"/>
  <c r="H91" i="8" s="1"/>
  <c r="I91" i="8" s="1"/>
  <c r="J91" i="8" s="1"/>
  <c r="K91" i="8" s="1"/>
  <c r="C90" i="8"/>
  <c r="D90" i="8" s="1"/>
  <c r="E90" i="8" s="1"/>
  <c r="F90" i="8" s="1"/>
  <c r="G90" i="8" s="1"/>
  <c r="H90" i="8" s="1"/>
  <c r="I90" i="8" s="1"/>
  <c r="J90" i="8" s="1"/>
  <c r="K90" i="8" s="1"/>
  <c r="C89" i="8"/>
  <c r="D89" i="8" s="1"/>
  <c r="E89" i="8" s="1"/>
  <c r="F89" i="8" s="1"/>
  <c r="G89" i="8" s="1"/>
  <c r="H89" i="8" s="1"/>
  <c r="I89" i="8" s="1"/>
  <c r="J89" i="8" s="1"/>
  <c r="K89" i="8" s="1"/>
  <c r="L89" i="8" s="1"/>
  <c r="X836" i="1"/>
  <c r="X837" i="1"/>
  <c r="X838" i="1"/>
  <c r="X839" i="1"/>
  <c r="X840" i="1"/>
  <c r="L87" i="8" l="1"/>
  <c r="M87" i="8" s="1"/>
  <c r="N87" i="8" s="1"/>
  <c r="O87" i="8" s="1"/>
  <c r="P87" i="8" s="1"/>
  <c r="Q87" i="8" s="1"/>
  <c r="R87" i="8" s="1"/>
  <c r="S87" i="8" s="1"/>
  <c r="T87" i="8" s="1"/>
  <c r="U87" i="8" s="1"/>
  <c r="V87" i="8" s="1"/>
  <c r="W87" i="8" s="1"/>
  <c r="X87" i="8" s="1"/>
  <c r="Y87" i="8" s="1"/>
  <c r="Z87" i="8" s="1"/>
  <c r="AA87" i="8" s="1"/>
  <c r="AB87" i="8" s="1"/>
  <c r="AC87" i="8" s="1"/>
  <c r="AD87" i="8" s="1"/>
  <c r="AE87" i="8" s="1"/>
  <c r="AF87" i="8" s="1"/>
  <c r="AG87" i="8" s="1"/>
  <c r="AH87" i="8" s="1"/>
  <c r="AI87" i="8" s="1"/>
  <c r="AJ87" i="8" s="1"/>
  <c r="AK87" i="8" s="1"/>
  <c r="O106" i="8"/>
  <c r="P106" i="8" s="1"/>
  <c r="Q106" i="8" s="1"/>
  <c r="R106" i="8" s="1"/>
  <c r="S106" i="8" s="1"/>
  <c r="T106" i="8" s="1"/>
  <c r="U106" i="8" s="1"/>
  <c r="V106" i="8" s="1"/>
  <c r="W106" i="8" s="1"/>
  <c r="X106" i="8" s="1"/>
  <c r="Y106" i="8" s="1"/>
  <c r="Z106" i="8" s="1"/>
  <c r="AA106" i="8" s="1"/>
  <c r="AB106" i="8" s="1"/>
  <c r="AC106" i="8" s="1"/>
  <c r="AD106" i="8" s="1"/>
  <c r="AE106" i="8" s="1"/>
  <c r="AF106" i="8" s="1"/>
  <c r="AG106" i="8" s="1"/>
  <c r="AH106" i="8" s="1"/>
  <c r="AI106" i="8" s="1"/>
  <c r="AJ106" i="8" s="1"/>
  <c r="AK106" i="8" s="1"/>
  <c r="P105" i="8"/>
  <c r="Q105" i="8" s="1"/>
  <c r="R105" i="8" s="1"/>
  <c r="S105" i="8" s="1"/>
  <c r="T105" i="8" s="1"/>
  <c r="U105" i="8" s="1"/>
  <c r="V105" i="8" s="1"/>
  <c r="W105" i="8" s="1"/>
  <c r="X105" i="8" s="1"/>
  <c r="Y105" i="8" s="1"/>
  <c r="Z105" i="8" s="1"/>
  <c r="AA105" i="8" s="1"/>
  <c r="AB105" i="8" s="1"/>
  <c r="AC105" i="8" s="1"/>
  <c r="AD105" i="8" s="1"/>
  <c r="AE105" i="8" s="1"/>
  <c r="AF105" i="8" s="1"/>
  <c r="AG105" i="8" s="1"/>
  <c r="AH105" i="8" s="1"/>
  <c r="AI105" i="8" s="1"/>
  <c r="AJ105" i="8" s="1"/>
  <c r="AK105" i="8" s="1"/>
  <c r="O105" i="8"/>
  <c r="G80" i="8"/>
  <c r="H80" i="8" s="1"/>
  <c r="I80" i="8" s="1"/>
  <c r="J80" i="8" s="1"/>
  <c r="K80" i="8" s="1"/>
  <c r="O121" i="8"/>
  <c r="P121" i="8" s="1"/>
  <c r="Q121" i="8" s="1"/>
  <c r="R121" i="8" s="1"/>
  <c r="S121" i="8" s="1"/>
  <c r="T121" i="8" s="1"/>
  <c r="U121" i="8" s="1"/>
  <c r="V121" i="8" s="1"/>
  <c r="W121" i="8" s="1"/>
  <c r="X121" i="8" s="1"/>
  <c r="Y121" i="8" s="1"/>
  <c r="Z121" i="8" s="1"/>
  <c r="AA121" i="8" s="1"/>
  <c r="AB121" i="8" s="1"/>
  <c r="AC121" i="8" s="1"/>
  <c r="AD121" i="8" s="1"/>
  <c r="AE121" i="8" s="1"/>
  <c r="AF121" i="8" s="1"/>
  <c r="AG121" i="8" s="1"/>
  <c r="AH121" i="8" s="1"/>
  <c r="AI121" i="8" s="1"/>
  <c r="AJ121" i="8" s="1"/>
  <c r="AK121" i="8" s="1"/>
  <c r="O124" i="8"/>
  <c r="P124" i="8" s="1"/>
  <c r="Q124" i="8" s="1"/>
  <c r="R124" i="8" s="1"/>
  <c r="S124" i="8" s="1"/>
  <c r="T124" i="8" s="1"/>
  <c r="U124" i="8" s="1"/>
  <c r="V124" i="8" s="1"/>
  <c r="W124" i="8" s="1"/>
  <c r="X124" i="8" s="1"/>
  <c r="Y124" i="8" s="1"/>
  <c r="Z124" i="8" s="1"/>
  <c r="AA124" i="8" s="1"/>
  <c r="AB124" i="8" s="1"/>
  <c r="AC124" i="8" s="1"/>
  <c r="AD124" i="8" s="1"/>
  <c r="AE124" i="8" s="1"/>
  <c r="AF124" i="8" s="1"/>
  <c r="AG124" i="8" s="1"/>
  <c r="AH124" i="8" s="1"/>
  <c r="AI124" i="8" s="1"/>
  <c r="AJ124" i="8" s="1"/>
  <c r="AK124" i="8" s="1"/>
  <c r="O125" i="8"/>
  <c r="P125" i="8" s="1"/>
  <c r="Q125" i="8" s="1"/>
  <c r="R125" i="8" s="1"/>
  <c r="S125" i="8" s="1"/>
  <c r="T125" i="8" s="1"/>
  <c r="U125" i="8" s="1"/>
  <c r="V125" i="8" s="1"/>
  <c r="W125" i="8" s="1"/>
  <c r="X125" i="8" s="1"/>
  <c r="Y125" i="8" s="1"/>
  <c r="Z125" i="8" s="1"/>
  <c r="AA125" i="8" s="1"/>
  <c r="AB125" i="8" s="1"/>
  <c r="AC125" i="8" s="1"/>
  <c r="AD125" i="8" s="1"/>
  <c r="AE125" i="8" s="1"/>
  <c r="AF125" i="8" s="1"/>
  <c r="AG125" i="8" s="1"/>
  <c r="AH125" i="8" s="1"/>
  <c r="AI125" i="8" s="1"/>
  <c r="AJ125" i="8" s="1"/>
  <c r="AK125" i="8" s="1"/>
  <c r="G88" i="8"/>
  <c r="H88" i="8" s="1"/>
  <c r="I88" i="8" s="1"/>
  <c r="J88" i="8" s="1"/>
  <c r="K88" i="8" s="1"/>
  <c r="K109" i="8"/>
  <c r="L109" i="8" s="1"/>
  <c r="M109" i="8" s="1"/>
  <c r="N109" i="8" s="1"/>
  <c r="O109" i="8" s="1"/>
  <c r="P109" i="8" s="1"/>
  <c r="Q109" i="8" s="1"/>
  <c r="R109" i="8" s="1"/>
  <c r="S109" i="8" s="1"/>
  <c r="T109" i="8" s="1"/>
  <c r="U109" i="8" s="1"/>
  <c r="V109" i="8" s="1"/>
  <c r="W109" i="8" s="1"/>
  <c r="X109" i="8" s="1"/>
  <c r="Y109" i="8" s="1"/>
  <c r="Z109" i="8" s="1"/>
  <c r="AA109" i="8" s="1"/>
  <c r="AB109" i="8" s="1"/>
  <c r="AC109" i="8" s="1"/>
  <c r="AD109" i="8" s="1"/>
  <c r="AE109" i="8" s="1"/>
  <c r="AF109" i="8" s="1"/>
  <c r="AG109" i="8" s="1"/>
  <c r="AH109" i="8" s="1"/>
  <c r="AI109" i="8" s="1"/>
  <c r="AJ109" i="8" s="1"/>
  <c r="AK109" i="8" s="1"/>
  <c r="J109" i="8"/>
  <c r="M11" i="8"/>
  <c r="N11" i="8" s="1"/>
  <c r="O11" i="8" s="1"/>
  <c r="P11" i="8" s="1"/>
  <c r="Q11" i="8" s="1"/>
  <c r="R11" i="8" s="1"/>
  <c r="S11" i="8" s="1"/>
  <c r="T11" i="8" s="1"/>
  <c r="U11" i="8" s="1"/>
  <c r="J12" i="8"/>
  <c r="K12" i="8" s="1"/>
  <c r="L12" i="8" s="1"/>
  <c r="O110" i="8"/>
  <c r="P110" i="8" s="1"/>
  <c r="Q110" i="8" s="1"/>
  <c r="R110" i="8" s="1"/>
  <c r="S110" i="8" s="1"/>
  <c r="T110" i="8" s="1"/>
  <c r="U110" i="8" s="1"/>
  <c r="V110" i="8" s="1"/>
  <c r="W110" i="8" s="1"/>
  <c r="X110" i="8" s="1"/>
  <c r="Y110" i="8" s="1"/>
  <c r="Z110" i="8" s="1"/>
  <c r="AA110" i="8" s="1"/>
  <c r="AB110" i="8" s="1"/>
  <c r="AC110" i="8" s="1"/>
  <c r="AD110" i="8" s="1"/>
  <c r="AE110" i="8" s="1"/>
  <c r="AF110" i="8" s="1"/>
  <c r="AG110" i="8" s="1"/>
  <c r="AH110" i="8" s="1"/>
  <c r="AI110" i="8" s="1"/>
  <c r="AJ110" i="8" s="1"/>
  <c r="AK110" i="8" s="1"/>
  <c r="O119" i="8"/>
  <c r="P119" i="8" s="1"/>
  <c r="Q119" i="8" s="1"/>
  <c r="R119" i="8" s="1"/>
  <c r="S119" i="8" s="1"/>
  <c r="T119" i="8" s="1"/>
  <c r="U119" i="8" s="1"/>
  <c r="V119" i="8" s="1"/>
  <c r="W119" i="8" s="1"/>
  <c r="X119" i="8" s="1"/>
  <c r="Y119" i="8" s="1"/>
  <c r="Z119" i="8" s="1"/>
  <c r="AA119" i="8" s="1"/>
  <c r="AB119" i="8" s="1"/>
  <c r="AC119" i="8" s="1"/>
  <c r="AD119" i="8" s="1"/>
  <c r="AE119" i="8" s="1"/>
  <c r="AF119" i="8" s="1"/>
  <c r="AG119" i="8" s="1"/>
  <c r="AH119" i="8" s="1"/>
  <c r="AI119" i="8" s="1"/>
  <c r="AJ119" i="8" s="1"/>
  <c r="AK119" i="8" s="1"/>
  <c r="G81" i="8"/>
  <c r="H81" i="8" s="1"/>
  <c r="I81" i="8" s="1"/>
  <c r="J81" i="8" s="1"/>
  <c r="K81" i="8" s="1"/>
  <c r="Q9" i="8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AE9" i="8" s="1"/>
  <c r="AF9" i="8" s="1"/>
  <c r="AG9" i="8" s="1"/>
  <c r="AH9" i="8" s="1"/>
  <c r="AI9" i="8" s="1"/>
  <c r="AJ9" i="8" s="1"/>
  <c r="AK9" i="8" s="1"/>
  <c r="O120" i="8"/>
  <c r="P120" i="8" s="1"/>
  <c r="Q120" i="8" s="1"/>
  <c r="R120" i="8" s="1"/>
  <c r="S120" i="8" s="1"/>
  <c r="T120" i="8" s="1"/>
  <c r="U120" i="8" s="1"/>
  <c r="V120" i="8" s="1"/>
  <c r="W120" i="8" s="1"/>
  <c r="X120" i="8" s="1"/>
  <c r="Y120" i="8" s="1"/>
  <c r="Z120" i="8" s="1"/>
  <c r="AA120" i="8" s="1"/>
  <c r="AB120" i="8" s="1"/>
  <c r="AC120" i="8" s="1"/>
  <c r="AD120" i="8" s="1"/>
  <c r="AE120" i="8" s="1"/>
  <c r="AF120" i="8" s="1"/>
  <c r="AG120" i="8" s="1"/>
  <c r="AH120" i="8" s="1"/>
  <c r="AI120" i="8" s="1"/>
  <c r="AJ120" i="8" s="1"/>
  <c r="AK120" i="8" s="1"/>
  <c r="K185" i="8"/>
  <c r="L185" i="8" s="1"/>
  <c r="J185" i="8"/>
  <c r="J10" i="8"/>
  <c r="K10" i="8" s="1"/>
  <c r="L10" i="8" s="1"/>
  <c r="N13" i="8"/>
  <c r="O13" i="8" s="1"/>
  <c r="P13" i="8" s="1"/>
  <c r="Q13" i="8" s="1"/>
  <c r="R13" i="8" s="1"/>
  <c r="S13" i="8" s="1"/>
  <c r="T13" i="8" s="1"/>
  <c r="U13" i="8" s="1"/>
  <c r="M13" i="8"/>
  <c r="O126" i="8"/>
  <c r="P126" i="8" s="1"/>
  <c r="Q126" i="8" s="1"/>
  <c r="R126" i="8" s="1"/>
  <c r="S126" i="8" s="1"/>
  <c r="T126" i="8" s="1"/>
  <c r="U126" i="8" s="1"/>
  <c r="V126" i="8" s="1"/>
  <c r="W126" i="8" s="1"/>
  <c r="X126" i="8" s="1"/>
  <c r="Y126" i="8" s="1"/>
  <c r="Z126" i="8" s="1"/>
  <c r="AA126" i="8" s="1"/>
  <c r="AB126" i="8" s="1"/>
  <c r="AC126" i="8" s="1"/>
  <c r="AD126" i="8" s="1"/>
  <c r="AE126" i="8" s="1"/>
  <c r="AF126" i="8" s="1"/>
  <c r="AG126" i="8" s="1"/>
  <c r="AH126" i="8" s="1"/>
  <c r="AI126" i="8" s="1"/>
  <c r="AJ126" i="8" s="1"/>
  <c r="AK126" i="8" s="1"/>
  <c r="L82" i="8"/>
  <c r="M82" i="8" s="1"/>
  <c r="N82" i="8" s="1"/>
  <c r="O82" i="8" s="1"/>
  <c r="P82" i="8" s="1"/>
  <c r="Q82" i="8" s="1"/>
  <c r="R82" i="8" s="1"/>
  <c r="S82" i="8" s="1"/>
  <c r="T82" i="8" s="1"/>
  <c r="U82" i="8" s="1"/>
  <c r="V82" i="8" s="1"/>
  <c r="W82" i="8" s="1"/>
  <c r="X82" i="8" s="1"/>
  <c r="Y82" i="8" s="1"/>
  <c r="Z82" i="8" s="1"/>
  <c r="AA82" i="8" s="1"/>
  <c r="AB82" i="8" s="1"/>
  <c r="AC82" i="8" s="1"/>
  <c r="AD82" i="8" s="1"/>
  <c r="AE82" i="8" s="1"/>
  <c r="AF82" i="8" s="1"/>
  <c r="AG82" i="8" s="1"/>
  <c r="AH82" i="8" s="1"/>
  <c r="AI82" i="8" s="1"/>
  <c r="AJ82" i="8" s="1"/>
  <c r="AK82" i="8" s="1"/>
  <c r="K121" i="4"/>
  <c r="L121" i="4" s="1"/>
  <c r="M121" i="4" s="1"/>
  <c r="N121" i="4" s="1"/>
  <c r="K123" i="4"/>
  <c r="L123" i="4" s="1"/>
  <c r="M123" i="4" s="1"/>
  <c r="N123" i="4" s="1"/>
  <c r="K122" i="4"/>
  <c r="L122" i="4" s="1"/>
  <c r="M122" i="4" s="1"/>
  <c r="N122" i="4" s="1"/>
  <c r="G117" i="4"/>
  <c r="H117" i="4" s="1"/>
  <c r="I117" i="4" s="1"/>
  <c r="J117" i="4" s="1"/>
  <c r="G115" i="4"/>
  <c r="H115" i="4" s="1"/>
  <c r="I115" i="4" s="1"/>
  <c r="J115" i="4" s="1"/>
  <c r="H119" i="4"/>
  <c r="I119" i="4" s="1"/>
  <c r="J119" i="4" s="1"/>
  <c r="K119" i="4" s="1"/>
  <c r="L119" i="4" s="1"/>
  <c r="M119" i="4" s="1"/>
  <c r="N119" i="4" s="1"/>
  <c r="G118" i="4"/>
  <c r="H118" i="4" s="1"/>
  <c r="I118" i="4" s="1"/>
  <c r="J118" i="4" s="1"/>
  <c r="G116" i="4"/>
  <c r="H116" i="4" s="1"/>
  <c r="I116" i="4" s="1"/>
  <c r="J116" i="4" s="1"/>
  <c r="H120" i="4"/>
  <c r="I120" i="4" s="1"/>
  <c r="J120" i="4" s="1"/>
  <c r="K104" i="8"/>
  <c r="L104" i="8" s="1"/>
  <c r="M104" i="8" s="1"/>
  <c r="N104" i="8" s="1"/>
  <c r="O104" i="8" s="1"/>
  <c r="K108" i="8"/>
  <c r="L108" i="8" s="1"/>
  <c r="M108" i="8" s="1"/>
  <c r="N108" i="8" s="1"/>
  <c r="K8" i="8"/>
  <c r="L8" i="8" s="1"/>
  <c r="J187" i="8"/>
  <c r="K187" i="8" s="1"/>
  <c r="L187" i="8" s="1"/>
  <c r="M186" i="8"/>
  <c r="N186" i="8" s="1"/>
  <c r="O186" i="8" s="1"/>
  <c r="P186" i="8" s="1"/>
  <c r="Q186" i="8" s="1"/>
  <c r="R186" i="8" s="1"/>
  <c r="S186" i="8" s="1"/>
  <c r="T186" i="8" s="1"/>
  <c r="U186" i="8" s="1"/>
  <c r="V186" i="8" s="1"/>
  <c r="W186" i="8" s="1"/>
  <c r="X186" i="8" s="1"/>
  <c r="Y186" i="8" s="1"/>
  <c r="Z186" i="8" s="1"/>
  <c r="AA186" i="8" s="1"/>
  <c r="AB186" i="8" s="1"/>
  <c r="AC186" i="8" s="1"/>
  <c r="AD186" i="8" s="1"/>
  <c r="AE186" i="8" s="1"/>
  <c r="AF186" i="8" s="1"/>
  <c r="AG186" i="8" s="1"/>
  <c r="AH186" i="8" s="1"/>
  <c r="AI186" i="8" s="1"/>
  <c r="AJ186" i="8" s="1"/>
  <c r="AK186" i="8" s="1"/>
  <c r="P18" i="9"/>
  <c r="F58" i="4"/>
  <c r="G58" i="4" s="1"/>
  <c r="H58" i="4" s="1"/>
  <c r="I58" i="4" s="1"/>
  <c r="H66" i="4"/>
  <c r="I66" i="4" s="1"/>
  <c r="J75" i="4"/>
  <c r="K75" i="4" s="1"/>
  <c r="J67" i="4"/>
  <c r="K67" i="4" s="1"/>
  <c r="L67" i="4" s="1"/>
  <c r="M67" i="4" s="1"/>
  <c r="N67" i="4" s="1"/>
  <c r="H65" i="4"/>
  <c r="I65" i="4" s="1"/>
  <c r="H63" i="4"/>
  <c r="I63" i="4" s="1"/>
  <c r="F77" i="4"/>
  <c r="G77" i="4" s="1"/>
  <c r="H64" i="4"/>
  <c r="I64" i="4" s="1"/>
  <c r="F60" i="4"/>
  <c r="G60" i="4" s="1"/>
  <c r="F74" i="4"/>
  <c r="G74" i="4" s="1"/>
  <c r="F56" i="4"/>
  <c r="G56" i="4" s="1"/>
  <c r="H73" i="4"/>
  <c r="I73" i="4" s="1"/>
  <c r="F78" i="4"/>
  <c r="G78" i="4" s="1"/>
  <c r="F72" i="4"/>
  <c r="G72" i="4" s="1"/>
  <c r="H61" i="4"/>
  <c r="I61" i="4" s="1"/>
  <c r="J61" i="4" s="1"/>
  <c r="K61" i="4" s="1"/>
  <c r="H79" i="4"/>
  <c r="I79" i="4" s="1"/>
  <c r="J79" i="4" s="1"/>
  <c r="K79" i="4" s="1"/>
  <c r="H69" i="4"/>
  <c r="I69" i="4" s="1"/>
  <c r="H57" i="4"/>
  <c r="I57" i="4" s="1"/>
  <c r="H71" i="4"/>
  <c r="I71" i="4" s="1"/>
  <c r="H59" i="4"/>
  <c r="I59" i="4" s="1"/>
  <c r="F68" i="4"/>
  <c r="G68" i="4" s="1"/>
  <c r="H68" i="4" s="1"/>
  <c r="I68" i="4" s="1"/>
  <c r="O141" i="8"/>
  <c r="P141" i="8" s="1"/>
  <c r="Q141" i="8" s="1"/>
  <c r="R141" i="8" s="1"/>
  <c r="S141" i="8" s="1"/>
  <c r="T141" i="8" s="1"/>
  <c r="U141" i="8" s="1"/>
  <c r="O35" i="8"/>
  <c r="P35" i="8" s="1"/>
  <c r="Q35" i="8" s="1"/>
  <c r="R35" i="8" s="1"/>
  <c r="S35" i="8" s="1"/>
  <c r="S146" i="8"/>
  <c r="T146" i="8" s="1"/>
  <c r="U146" i="8" s="1"/>
  <c r="S144" i="8"/>
  <c r="T144" i="8" s="1"/>
  <c r="U144" i="8" s="1"/>
  <c r="O143" i="8"/>
  <c r="P143" i="8" s="1"/>
  <c r="Q143" i="8" s="1"/>
  <c r="R143" i="8" s="1"/>
  <c r="G36" i="8"/>
  <c r="H36" i="8" s="1"/>
  <c r="S60" i="8"/>
  <c r="T60" i="8" s="1"/>
  <c r="U60" i="8" s="1"/>
  <c r="S135" i="8"/>
  <c r="T135" i="8" s="1"/>
  <c r="U135" i="8" s="1"/>
  <c r="V135" i="8" s="1"/>
  <c r="W135" i="8" s="1"/>
  <c r="X135" i="8" s="1"/>
  <c r="Y135" i="8" s="1"/>
  <c r="Z135" i="8" s="1"/>
  <c r="AA135" i="8" s="1"/>
  <c r="AB135" i="8" s="1"/>
  <c r="AC135" i="8" s="1"/>
  <c r="AD135" i="8" s="1"/>
  <c r="AE135" i="8" s="1"/>
  <c r="AF135" i="8" s="1"/>
  <c r="AG135" i="8" s="1"/>
  <c r="AH135" i="8" s="1"/>
  <c r="AI135" i="8" s="1"/>
  <c r="AJ135" i="8" s="1"/>
  <c r="AK135" i="8" s="1"/>
  <c r="K40" i="8"/>
  <c r="L40" i="8" s="1"/>
  <c r="M40" i="8" s="1"/>
  <c r="N40" i="8" s="1"/>
  <c r="O40" i="8" s="1"/>
  <c r="O61" i="8"/>
  <c r="P61" i="8" s="1"/>
  <c r="Q61" i="8" s="1"/>
  <c r="R61" i="8" s="1"/>
  <c r="G142" i="8"/>
  <c r="H142" i="8" s="1"/>
  <c r="K38" i="8"/>
  <c r="L38" i="8" s="1"/>
  <c r="M38" i="8" s="1"/>
  <c r="N38" i="8" s="1"/>
  <c r="O38" i="8" s="1"/>
  <c r="I145" i="8"/>
  <c r="J145" i="8" s="1"/>
  <c r="K145" i="8" s="1"/>
  <c r="L145" i="8" s="1"/>
  <c r="M145" i="8" s="1"/>
  <c r="N145" i="8" s="1"/>
  <c r="O145" i="8" s="1"/>
  <c r="P145" i="8" s="1"/>
  <c r="Q145" i="8" s="1"/>
  <c r="R145" i="8" s="1"/>
  <c r="S145" i="8" s="1"/>
  <c r="T145" i="8" s="1"/>
  <c r="U145" i="8" s="1"/>
  <c r="V145" i="8" s="1"/>
  <c r="W145" i="8" s="1"/>
  <c r="X145" i="8" s="1"/>
  <c r="Y145" i="8" s="1"/>
  <c r="Z145" i="8" s="1"/>
  <c r="AA145" i="8" s="1"/>
  <c r="AB145" i="8" s="1"/>
  <c r="AC145" i="8" s="1"/>
  <c r="AD145" i="8" s="1"/>
  <c r="AE145" i="8" s="1"/>
  <c r="AF145" i="8" s="1"/>
  <c r="AG145" i="8" s="1"/>
  <c r="AH145" i="8" s="1"/>
  <c r="AI145" i="8" s="1"/>
  <c r="AJ145" i="8" s="1"/>
  <c r="AK145" i="8" s="1"/>
  <c r="I41" i="8"/>
  <c r="J41" i="8" s="1"/>
  <c r="G140" i="8"/>
  <c r="H140" i="8" s="1"/>
  <c r="I37" i="8"/>
  <c r="J37" i="8" s="1"/>
  <c r="H76" i="4"/>
  <c r="I76" i="4" s="1"/>
  <c r="J128" i="8"/>
  <c r="K128" i="8" s="1"/>
  <c r="J149" i="8"/>
  <c r="K149" i="8" s="1"/>
  <c r="L149" i="8" s="1"/>
  <c r="M149" i="8" s="1"/>
  <c r="N149" i="8" s="1"/>
  <c r="O149" i="8" s="1"/>
  <c r="S130" i="8"/>
  <c r="T130" i="8" s="1"/>
  <c r="U130" i="8" s="1"/>
  <c r="V130" i="8" s="1"/>
  <c r="W130" i="8" s="1"/>
  <c r="X130" i="8" s="1"/>
  <c r="Y130" i="8" s="1"/>
  <c r="Z130" i="8" s="1"/>
  <c r="L132" i="8"/>
  <c r="M132" i="8" s="1"/>
  <c r="N132" i="8" s="1"/>
  <c r="O132" i="8" s="1"/>
  <c r="P132" i="8" s="1"/>
  <c r="Q132" i="8" s="1"/>
  <c r="R132" i="8" s="1"/>
  <c r="G150" i="8"/>
  <c r="H150" i="8" s="1"/>
  <c r="I150" i="8" s="1"/>
  <c r="J150" i="8" s="1"/>
  <c r="K150" i="8" s="1"/>
  <c r="L150" i="8" s="1"/>
  <c r="M150" i="8" s="1"/>
  <c r="N150" i="8" s="1"/>
  <c r="O150" i="8" s="1"/>
  <c r="P150" i="8" s="1"/>
  <c r="Q150" i="8" s="1"/>
  <c r="R150" i="8" s="1"/>
  <c r="S150" i="8" s="1"/>
  <c r="T150" i="8" s="1"/>
  <c r="U150" i="8" s="1"/>
  <c r="V150" i="8" s="1"/>
  <c r="W150" i="8" s="1"/>
  <c r="X150" i="8" s="1"/>
  <c r="Y150" i="8" s="1"/>
  <c r="Z150" i="8" s="1"/>
  <c r="AA150" i="8" s="1"/>
  <c r="AB150" i="8" s="1"/>
  <c r="AC150" i="8" s="1"/>
  <c r="AD150" i="8" s="1"/>
  <c r="AE150" i="8" s="1"/>
  <c r="AF150" i="8" s="1"/>
  <c r="AG150" i="8" s="1"/>
  <c r="AH150" i="8" s="1"/>
  <c r="AI150" i="8" s="1"/>
  <c r="AJ150" i="8" s="1"/>
  <c r="AK150" i="8" s="1"/>
  <c r="S131" i="8"/>
  <c r="T131" i="8" s="1"/>
  <c r="U131" i="8" s="1"/>
  <c r="V131" i="8" s="1"/>
  <c r="W131" i="8" s="1"/>
  <c r="X131" i="8" s="1"/>
  <c r="Y131" i="8" s="1"/>
  <c r="L129" i="8"/>
  <c r="M129" i="8" s="1"/>
  <c r="N129" i="8" s="1"/>
  <c r="O129" i="8" s="1"/>
  <c r="P129" i="8" s="1"/>
  <c r="Q129" i="8" s="1"/>
  <c r="R129" i="8" s="1"/>
  <c r="O62" i="8"/>
  <c r="P62" i="8" s="1"/>
  <c r="Q62" i="8" s="1"/>
  <c r="R62" i="8" s="1"/>
  <c r="S62" i="8" s="1"/>
  <c r="T62" i="8" s="1"/>
  <c r="U62" i="8" s="1"/>
  <c r="V62" i="8" s="1"/>
  <c r="W62" i="8" s="1"/>
  <c r="X62" i="8" s="1"/>
  <c r="Y62" i="8" s="1"/>
  <c r="Z62" i="8" s="1"/>
  <c r="AA62" i="8" s="1"/>
  <c r="AB62" i="8" s="1"/>
  <c r="AC62" i="8" s="1"/>
  <c r="AD62" i="8" s="1"/>
  <c r="AE62" i="8" s="1"/>
  <c r="AF62" i="8" s="1"/>
  <c r="AG62" i="8" s="1"/>
  <c r="AH62" i="8" s="1"/>
  <c r="AI62" i="8" s="1"/>
  <c r="AJ62" i="8" s="1"/>
  <c r="AK62" i="8" s="1"/>
  <c r="M127" i="8"/>
  <c r="N127" i="8" s="1"/>
  <c r="O127" i="8" s="1"/>
  <c r="P127" i="8" s="1"/>
  <c r="Q127" i="8" s="1"/>
  <c r="R127" i="8" s="1"/>
  <c r="T7" i="9"/>
  <c r="I173" i="4"/>
  <c r="J173" i="4" s="1"/>
  <c r="K173" i="4" s="1"/>
  <c r="L173" i="4" s="1"/>
  <c r="M173" i="4" s="1"/>
  <c r="N173" i="4" s="1"/>
  <c r="G152" i="4"/>
  <c r="H152" i="4" s="1"/>
  <c r="I152" i="4" s="1"/>
  <c r="J152" i="4" s="1"/>
  <c r="K152" i="4" s="1"/>
  <c r="L152" i="4" s="1"/>
  <c r="M152" i="4" s="1"/>
  <c r="N152" i="4" s="1"/>
  <c r="K182" i="4"/>
  <c r="L182" i="4" s="1"/>
  <c r="M182" i="4" s="1"/>
  <c r="N182" i="4" s="1"/>
  <c r="G153" i="4"/>
  <c r="H153" i="4" s="1"/>
  <c r="I153" i="4" s="1"/>
  <c r="J153" i="4" s="1"/>
  <c r="K153" i="4" s="1"/>
  <c r="L153" i="4" s="1"/>
  <c r="M153" i="4" s="1"/>
  <c r="N153" i="4" s="1"/>
  <c r="K159" i="4"/>
  <c r="L159" i="4" s="1"/>
  <c r="M159" i="4" s="1"/>
  <c r="N159" i="4" s="1"/>
  <c r="K143" i="4"/>
  <c r="L143" i="4" s="1"/>
  <c r="M143" i="4" s="1"/>
  <c r="N143" i="4" s="1"/>
  <c r="H175" i="4"/>
  <c r="I175" i="4" s="1"/>
  <c r="J175" i="4" s="1"/>
  <c r="K175" i="4" s="1"/>
  <c r="L175" i="4" s="1"/>
  <c r="M175" i="4" s="1"/>
  <c r="N175" i="4" s="1"/>
  <c r="G151" i="4"/>
  <c r="H151" i="4" s="1"/>
  <c r="I151" i="4" s="1"/>
  <c r="J151" i="4" s="1"/>
  <c r="K151" i="4" s="1"/>
  <c r="L151" i="4" s="1"/>
  <c r="M151" i="4" s="1"/>
  <c r="N151" i="4" s="1"/>
  <c r="K180" i="4"/>
  <c r="L180" i="4" s="1"/>
  <c r="M180" i="4" s="1"/>
  <c r="N180" i="4" s="1"/>
  <c r="J183" i="4"/>
  <c r="K183" i="4" s="1"/>
  <c r="L183" i="4" s="1"/>
  <c r="M183" i="4" s="1"/>
  <c r="N183" i="4" s="1"/>
  <c r="I174" i="4"/>
  <c r="J174" i="4" s="1"/>
  <c r="K174" i="4" s="1"/>
  <c r="L174" i="4" s="1"/>
  <c r="M174" i="4" s="1"/>
  <c r="N174" i="4" s="1"/>
  <c r="M169" i="4"/>
  <c r="N169" i="4" s="1"/>
  <c r="H202" i="4"/>
  <c r="I202" i="4" s="1"/>
  <c r="J202" i="4" s="1"/>
  <c r="K202" i="4" s="1"/>
  <c r="L202" i="4" s="1"/>
  <c r="M202" i="4" s="1"/>
  <c r="N202" i="4" s="1"/>
  <c r="J199" i="4"/>
  <c r="K199" i="4" s="1"/>
  <c r="L199" i="4" s="1"/>
  <c r="M199" i="4" s="1"/>
  <c r="N199" i="4" s="1"/>
  <c r="H201" i="4"/>
  <c r="I201" i="4" s="1"/>
  <c r="F192" i="4"/>
  <c r="G192" i="4" s="1"/>
  <c r="H192" i="4" s="1"/>
  <c r="J191" i="4"/>
  <c r="K191" i="4" s="1"/>
  <c r="L191" i="4" s="1"/>
  <c r="J195" i="4"/>
  <c r="K195" i="4" s="1"/>
  <c r="L195" i="4" s="1"/>
  <c r="M187" i="4"/>
  <c r="N187" i="4" s="1"/>
  <c r="U67" i="8"/>
  <c r="V67" i="8" s="1"/>
  <c r="W67" i="8" s="1"/>
  <c r="X67" i="8" s="1"/>
  <c r="Y67" i="8" s="1"/>
  <c r="Z67" i="8" s="1"/>
  <c r="AA67" i="8" s="1"/>
  <c r="AB67" i="8" s="1"/>
  <c r="AC67" i="8" s="1"/>
  <c r="AD67" i="8" s="1"/>
  <c r="AE67" i="8" s="1"/>
  <c r="AF67" i="8" s="1"/>
  <c r="AG67" i="8" s="1"/>
  <c r="AH67" i="8" s="1"/>
  <c r="AI67" i="8" s="1"/>
  <c r="AJ67" i="8" s="1"/>
  <c r="AK67" i="8" s="1"/>
  <c r="I152" i="8"/>
  <c r="J152" i="8" s="1"/>
  <c r="K152" i="8" s="1"/>
  <c r="L152" i="8" s="1"/>
  <c r="M152" i="8" s="1"/>
  <c r="N152" i="8" s="1"/>
  <c r="O152" i="8" s="1"/>
  <c r="P152" i="8" s="1"/>
  <c r="Q152" i="8" s="1"/>
  <c r="R152" i="8" s="1"/>
  <c r="S152" i="8" s="1"/>
  <c r="T152" i="8" s="1"/>
  <c r="U152" i="8" s="1"/>
  <c r="V152" i="8" s="1"/>
  <c r="W152" i="8" s="1"/>
  <c r="I154" i="8"/>
  <c r="J154" i="8" s="1"/>
  <c r="K154" i="8" s="1"/>
  <c r="L154" i="8" s="1"/>
  <c r="M154" i="8" s="1"/>
  <c r="N154" i="8" s="1"/>
  <c r="O154" i="8" s="1"/>
  <c r="P154" i="8" s="1"/>
  <c r="Q154" i="8" s="1"/>
  <c r="R154" i="8" s="1"/>
  <c r="S154" i="8" s="1"/>
  <c r="T154" i="8" s="1"/>
  <c r="U154" i="8" s="1"/>
  <c r="V154" i="8" s="1"/>
  <c r="W154" i="8" s="1"/>
  <c r="L91" i="8"/>
  <c r="M91" i="8" s="1"/>
  <c r="N91" i="8" s="1"/>
  <c r="O91" i="8" s="1"/>
  <c r="P91" i="8" s="1"/>
  <c r="Q91" i="8" s="1"/>
  <c r="R91" i="8" s="1"/>
  <c r="S91" i="8" s="1"/>
  <c r="T91" i="8" s="1"/>
  <c r="U91" i="8" s="1"/>
  <c r="V91" i="8" s="1"/>
  <c r="W91" i="8" s="1"/>
  <c r="X91" i="8" s="1"/>
  <c r="Y91" i="8" s="1"/>
  <c r="Z91" i="8" s="1"/>
  <c r="AA91" i="8" s="1"/>
  <c r="AB91" i="8" s="1"/>
  <c r="AC91" i="8" s="1"/>
  <c r="AD91" i="8" s="1"/>
  <c r="L90" i="8"/>
  <c r="M90" i="8" s="1"/>
  <c r="N90" i="8" s="1"/>
  <c r="O90" i="8" s="1"/>
  <c r="P90" i="8" s="1"/>
  <c r="Q90" i="8" s="1"/>
  <c r="R90" i="8" s="1"/>
  <c r="S90" i="8" s="1"/>
  <c r="T90" i="8" s="1"/>
  <c r="U90" i="8" s="1"/>
  <c r="V90" i="8" s="1"/>
  <c r="W90" i="8" s="1"/>
  <c r="X90" i="8" s="1"/>
  <c r="Y90" i="8" s="1"/>
  <c r="Z90" i="8" s="1"/>
  <c r="AA90" i="8" s="1"/>
  <c r="AB90" i="8" s="1"/>
  <c r="AC90" i="8" s="1"/>
  <c r="AD90" i="8" s="1"/>
  <c r="I153" i="8"/>
  <c r="J153" i="8" s="1"/>
  <c r="K153" i="8" s="1"/>
  <c r="L153" i="8" s="1"/>
  <c r="M153" i="8" s="1"/>
  <c r="N153" i="8" s="1"/>
  <c r="O153" i="8" s="1"/>
  <c r="P153" i="8" s="1"/>
  <c r="Q153" i="8" s="1"/>
  <c r="R153" i="8" s="1"/>
  <c r="S153" i="8" s="1"/>
  <c r="T153" i="8" s="1"/>
  <c r="U153" i="8" s="1"/>
  <c r="V153" i="8" s="1"/>
  <c r="W153" i="8" s="1"/>
  <c r="X153" i="8" s="1"/>
  <c r="Y153" i="8" s="1"/>
  <c r="Z153" i="8" s="1"/>
  <c r="AA153" i="8" s="1"/>
  <c r="AB153" i="8" s="1"/>
  <c r="AC153" i="8" s="1"/>
  <c r="AD153" i="8" s="1"/>
  <c r="AE153" i="8" s="1"/>
  <c r="AF153" i="8" s="1"/>
  <c r="AG153" i="8" s="1"/>
  <c r="AH153" i="8" s="1"/>
  <c r="I155" i="8"/>
  <c r="J155" i="8" s="1"/>
  <c r="K155" i="8" s="1"/>
  <c r="L155" i="8" s="1"/>
  <c r="M155" i="8" s="1"/>
  <c r="N155" i="8" s="1"/>
  <c r="O155" i="8" s="1"/>
  <c r="P155" i="8" s="1"/>
  <c r="Q155" i="8" s="1"/>
  <c r="R155" i="8" s="1"/>
  <c r="S155" i="8" s="1"/>
  <c r="T155" i="8" s="1"/>
  <c r="U155" i="8" s="1"/>
  <c r="V155" i="8" s="1"/>
  <c r="W155" i="8" s="1"/>
  <c r="L16" i="8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AH16" i="8" s="1"/>
  <c r="AI16" i="8" s="1"/>
  <c r="AJ16" i="8" s="1"/>
  <c r="AK16" i="8" s="1"/>
  <c r="M89" i="8"/>
  <c r="N89" i="8" s="1"/>
  <c r="O89" i="8" s="1"/>
  <c r="P89" i="8" s="1"/>
  <c r="Q89" i="8" s="1"/>
  <c r="R89" i="8" s="1"/>
  <c r="L81" i="8" l="1"/>
  <c r="M81" i="8" s="1"/>
  <c r="N81" i="8" s="1"/>
  <c r="O81" i="8" s="1"/>
  <c r="P81" i="8" s="1"/>
  <c r="Q81" i="8" s="1"/>
  <c r="R81" i="8" s="1"/>
  <c r="S81" i="8" s="1"/>
  <c r="T81" i="8" s="1"/>
  <c r="U81" i="8" s="1"/>
  <c r="V81" i="8" s="1"/>
  <c r="W81" i="8" s="1"/>
  <c r="X81" i="8" s="1"/>
  <c r="Y81" i="8" s="1"/>
  <c r="Z81" i="8" s="1"/>
  <c r="AA81" i="8" s="1"/>
  <c r="AB81" i="8" s="1"/>
  <c r="AC81" i="8" s="1"/>
  <c r="AD81" i="8" s="1"/>
  <c r="AE81" i="8" s="1"/>
  <c r="AF81" i="8" s="1"/>
  <c r="AG81" i="8" s="1"/>
  <c r="AH81" i="8" s="1"/>
  <c r="AI81" i="8" s="1"/>
  <c r="AJ81" i="8" s="1"/>
  <c r="AK81" i="8" s="1"/>
  <c r="L80" i="8"/>
  <c r="M80" i="8" s="1"/>
  <c r="N80" i="8" s="1"/>
  <c r="O80" i="8" s="1"/>
  <c r="P80" i="8" s="1"/>
  <c r="Q80" i="8" s="1"/>
  <c r="R80" i="8" s="1"/>
  <c r="S80" i="8" s="1"/>
  <c r="T80" i="8" s="1"/>
  <c r="U80" i="8" s="1"/>
  <c r="V80" i="8" s="1"/>
  <c r="W80" i="8" s="1"/>
  <c r="X80" i="8" s="1"/>
  <c r="Y80" i="8" s="1"/>
  <c r="Z80" i="8" s="1"/>
  <c r="AA80" i="8" s="1"/>
  <c r="AB80" i="8" s="1"/>
  <c r="AC80" i="8" s="1"/>
  <c r="AD80" i="8" s="1"/>
  <c r="AE80" i="8" s="1"/>
  <c r="AF80" i="8" s="1"/>
  <c r="AG80" i="8" s="1"/>
  <c r="AH80" i="8" s="1"/>
  <c r="AI80" i="8" s="1"/>
  <c r="AJ80" i="8" s="1"/>
  <c r="AK80" i="8" s="1"/>
  <c r="V11" i="8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AH11" i="8" s="1"/>
  <c r="AI11" i="8" s="1"/>
  <c r="AJ11" i="8" s="1"/>
  <c r="AK11" i="8" s="1"/>
  <c r="M10" i="8"/>
  <c r="N10" i="8" s="1"/>
  <c r="O10" i="8" s="1"/>
  <c r="P10" i="8" s="1"/>
  <c r="L88" i="8"/>
  <c r="M88" i="8" s="1"/>
  <c r="N88" i="8" s="1"/>
  <c r="O88" i="8" s="1"/>
  <c r="P88" i="8" s="1"/>
  <c r="Q88" i="8" s="1"/>
  <c r="R88" i="8" s="1"/>
  <c r="S88" i="8" s="1"/>
  <c r="T88" i="8" s="1"/>
  <c r="U88" i="8" s="1"/>
  <c r="V88" i="8" s="1"/>
  <c r="W88" i="8" s="1"/>
  <c r="X88" i="8" s="1"/>
  <c r="Y88" i="8" s="1"/>
  <c r="Z88" i="8" s="1"/>
  <c r="AA88" i="8" s="1"/>
  <c r="AB88" i="8" s="1"/>
  <c r="AC88" i="8" s="1"/>
  <c r="AD88" i="8" s="1"/>
  <c r="AE88" i="8" s="1"/>
  <c r="AF88" i="8" s="1"/>
  <c r="AG88" i="8" s="1"/>
  <c r="AH88" i="8" s="1"/>
  <c r="AI88" i="8" s="1"/>
  <c r="AJ88" i="8" s="1"/>
  <c r="AK88" i="8" s="1"/>
  <c r="V13" i="8"/>
  <c r="W13" i="8" s="1"/>
  <c r="X13" i="8" s="1"/>
  <c r="Y13" i="8" s="1"/>
  <c r="Z13" i="8" s="1"/>
  <c r="AA13" i="8" s="1"/>
  <c r="AB13" i="8" s="1"/>
  <c r="AC13" i="8" s="1"/>
  <c r="AD13" i="8" s="1"/>
  <c r="AE13" i="8" s="1"/>
  <c r="AF13" i="8" s="1"/>
  <c r="AG13" i="8" s="1"/>
  <c r="AH13" i="8" s="1"/>
  <c r="AI13" i="8" s="1"/>
  <c r="AJ13" i="8" s="1"/>
  <c r="AK13" i="8" s="1"/>
  <c r="M185" i="8"/>
  <c r="N185" i="8" s="1"/>
  <c r="O185" i="8" s="1"/>
  <c r="P185" i="8" s="1"/>
  <c r="M12" i="8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AH12" i="8" s="1"/>
  <c r="AI12" i="8" s="1"/>
  <c r="AJ12" i="8" s="1"/>
  <c r="AK12" i="8" s="1"/>
  <c r="M8" i="8"/>
  <c r="N8" i="8" s="1"/>
  <c r="O8" i="8" s="1"/>
  <c r="P8" i="8" s="1"/>
  <c r="O108" i="8"/>
  <c r="P108" i="8" s="1"/>
  <c r="Q108" i="8" s="1"/>
  <c r="R108" i="8" s="1"/>
  <c r="S108" i="8" s="1"/>
  <c r="T108" i="8" s="1"/>
  <c r="U108" i="8" s="1"/>
  <c r="V108" i="8" s="1"/>
  <c r="W108" i="8" s="1"/>
  <c r="X108" i="8" s="1"/>
  <c r="Y108" i="8" s="1"/>
  <c r="Z108" i="8" s="1"/>
  <c r="AA108" i="8" s="1"/>
  <c r="AB108" i="8" s="1"/>
  <c r="AC108" i="8" s="1"/>
  <c r="AD108" i="8" s="1"/>
  <c r="AE108" i="8" s="1"/>
  <c r="AF108" i="8" s="1"/>
  <c r="AG108" i="8" s="1"/>
  <c r="AH108" i="8" s="1"/>
  <c r="AI108" i="8" s="1"/>
  <c r="AJ108" i="8" s="1"/>
  <c r="AK108" i="8" s="1"/>
  <c r="K120" i="4"/>
  <c r="L120" i="4" s="1"/>
  <c r="M120" i="4" s="1"/>
  <c r="N120" i="4" s="1"/>
  <c r="K118" i="4"/>
  <c r="L118" i="4" s="1"/>
  <c r="M118" i="4" s="1"/>
  <c r="N118" i="4" s="1"/>
  <c r="K115" i="4"/>
  <c r="L115" i="4" s="1"/>
  <c r="M115" i="4" s="1"/>
  <c r="N115" i="4" s="1"/>
  <c r="K116" i="4"/>
  <c r="L116" i="4" s="1"/>
  <c r="M116" i="4" s="1"/>
  <c r="N116" i="4" s="1"/>
  <c r="K117" i="4"/>
  <c r="L117" i="4" s="1"/>
  <c r="M117" i="4" s="1"/>
  <c r="N117" i="4" s="1"/>
  <c r="P104" i="8"/>
  <c r="Q104" i="8" s="1"/>
  <c r="R104" i="8" s="1"/>
  <c r="S104" i="8" s="1"/>
  <c r="T104" i="8" s="1"/>
  <c r="U104" i="8" s="1"/>
  <c r="V104" i="8" s="1"/>
  <c r="W104" i="8" s="1"/>
  <c r="X104" i="8" s="1"/>
  <c r="Y104" i="8" s="1"/>
  <c r="Z104" i="8" s="1"/>
  <c r="AA104" i="8" s="1"/>
  <c r="AB104" i="8" s="1"/>
  <c r="AC104" i="8" s="1"/>
  <c r="AD104" i="8" s="1"/>
  <c r="AE104" i="8" s="1"/>
  <c r="AF104" i="8" s="1"/>
  <c r="AG104" i="8" s="1"/>
  <c r="AH104" i="8" s="1"/>
  <c r="AI104" i="8" s="1"/>
  <c r="AJ104" i="8" s="1"/>
  <c r="AK104" i="8" s="1"/>
  <c r="M187" i="8"/>
  <c r="N187" i="8" s="1"/>
  <c r="O187" i="8" s="1"/>
  <c r="P187" i="8" s="1"/>
  <c r="J71" i="4"/>
  <c r="K71" i="4" s="1"/>
  <c r="J69" i="4"/>
  <c r="K69" i="4" s="1"/>
  <c r="L69" i="4" s="1"/>
  <c r="M69" i="4" s="1"/>
  <c r="N69" i="4" s="1"/>
  <c r="H78" i="4"/>
  <c r="I78" i="4" s="1"/>
  <c r="J78" i="4" s="1"/>
  <c r="K78" i="4" s="1"/>
  <c r="L78" i="4" s="1"/>
  <c r="M78" i="4" s="1"/>
  <c r="N78" i="4" s="1"/>
  <c r="H77" i="4"/>
  <c r="I77" i="4" s="1"/>
  <c r="J65" i="4"/>
  <c r="K65" i="4" s="1"/>
  <c r="L61" i="4"/>
  <c r="M61" i="4" s="1"/>
  <c r="N61" i="4" s="1"/>
  <c r="H56" i="4"/>
  <c r="I56" i="4" s="1"/>
  <c r="J56" i="4" s="1"/>
  <c r="K56" i="4" s="1"/>
  <c r="H60" i="4"/>
  <c r="I60" i="4" s="1"/>
  <c r="J60" i="4" s="1"/>
  <c r="K60" i="4" s="1"/>
  <c r="L60" i="4" s="1"/>
  <c r="M60" i="4" s="1"/>
  <c r="N60" i="4" s="1"/>
  <c r="L75" i="4"/>
  <c r="M75" i="4" s="1"/>
  <c r="N75" i="4" s="1"/>
  <c r="J59" i="4"/>
  <c r="K59" i="4" s="1"/>
  <c r="J57" i="4"/>
  <c r="K57" i="4" s="1"/>
  <c r="L79" i="4"/>
  <c r="M79" i="4" s="1"/>
  <c r="N79" i="4" s="1"/>
  <c r="H72" i="4"/>
  <c r="I72" i="4" s="1"/>
  <c r="J73" i="4"/>
  <c r="K73" i="4" s="1"/>
  <c r="H74" i="4"/>
  <c r="I74" i="4" s="1"/>
  <c r="J64" i="4"/>
  <c r="K64" i="4" s="1"/>
  <c r="L64" i="4" s="1"/>
  <c r="M64" i="4" s="1"/>
  <c r="N64" i="4" s="1"/>
  <c r="J63" i="4"/>
  <c r="K63" i="4" s="1"/>
  <c r="J66" i="4"/>
  <c r="K66" i="4" s="1"/>
  <c r="L66" i="4" s="1"/>
  <c r="M66" i="4" s="1"/>
  <c r="N66" i="4" s="1"/>
  <c r="J68" i="4"/>
  <c r="K68" i="4" s="1"/>
  <c r="J58" i="4"/>
  <c r="K58" i="4" s="1"/>
  <c r="L58" i="4" s="1"/>
  <c r="M58" i="4" s="1"/>
  <c r="N58" i="4" s="1"/>
  <c r="S143" i="8"/>
  <c r="T143" i="8" s="1"/>
  <c r="U143" i="8" s="1"/>
  <c r="P40" i="8"/>
  <c r="Q40" i="8" s="1"/>
  <c r="R40" i="8" s="1"/>
  <c r="S40" i="8" s="1"/>
  <c r="T40" i="8" s="1"/>
  <c r="V141" i="8"/>
  <c r="W141" i="8" s="1"/>
  <c r="X141" i="8" s="1"/>
  <c r="Y141" i="8" s="1"/>
  <c r="I140" i="8"/>
  <c r="J140" i="8" s="1"/>
  <c r="K140" i="8" s="1"/>
  <c r="L140" i="8" s="1"/>
  <c r="M140" i="8" s="1"/>
  <c r="N140" i="8" s="1"/>
  <c r="O140" i="8" s="1"/>
  <c r="P140" i="8" s="1"/>
  <c r="Q140" i="8" s="1"/>
  <c r="R140" i="8" s="1"/>
  <c r="S140" i="8" s="1"/>
  <c r="T140" i="8" s="1"/>
  <c r="U140" i="8" s="1"/>
  <c r="V140" i="8" s="1"/>
  <c r="W140" i="8" s="1"/>
  <c r="X140" i="8" s="1"/>
  <c r="Y140" i="8" s="1"/>
  <c r="Z140" i="8" s="1"/>
  <c r="AA140" i="8" s="1"/>
  <c r="AB140" i="8" s="1"/>
  <c r="AC140" i="8" s="1"/>
  <c r="AD140" i="8" s="1"/>
  <c r="AE140" i="8" s="1"/>
  <c r="AF140" i="8" s="1"/>
  <c r="AG140" i="8" s="1"/>
  <c r="AH140" i="8" s="1"/>
  <c r="AI140" i="8" s="1"/>
  <c r="AJ140" i="8" s="1"/>
  <c r="AK140" i="8" s="1"/>
  <c r="V60" i="8"/>
  <c r="W60" i="8" s="1"/>
  <c r="X60" i="8" s="1"/>
  <c r="Y60" i="8" s="1"/>
  <c r="I142" i="8"/>
  <c r="J142" i="8" s="1"/>
  <c r="K142" i="8" s="1"/>
  <c r="L142" i="8" s="1"/>
  <c r="M142" i="8" s="1"/>
  <c r="N142" i="8" s="1"/>
  <c r="O142" i="8" s="1"/>
  <c r="P142" i="8" s="1"/>
  <c r="Q142" i="8" s="1"/>
  <c r="R142" i="8" s="1"/>
  <c r="S142" i="8" s="1"/>
  <c r="T142" i="8" s="1"/>
  <c r="U142" i="8" s="1"/>
  <c r="V142" i="8" s="1"/>
  <c r="W142" i="8" s="1"/>
  <c r="X142" i="8" s="1"/>
  <c r="Y142" i="8" s="1"/>
  <c r="Z142" i="8" s="1"/>
  <c r="AA142" i="8" s="1"/>
  <c r="AB142" i="8" s="1"/>
  <c r="AC142" i="8" s="1"/>
  <c r="AD142" i="8" s="1"/>
  <c r="AE142" i="8" s="1"/>
  <c r="AF142" i="8" s="1"/>
  <c r="AG142" i="8" s="1"/>
  <c r="AH142" i="8" s="1"/>
  <c r="AI142" i="8" s="1"/>
  <c r="AJ142" i="8" s="1"/>
  <c r="AK142" i="8" s="1"/>
  <c r="V146" i="8"/>
  <c r="W146" i="8" s="1"/>
  <c r="X146" i="8" s="1"/>
  <c r="Y146" i="8" s="1"/>
  <c r="K41" i="8"/>
  <c r="L41" i="8" s="1"/>
  <c r="M41" i="8" s="1"/>
  <c r="N41" i="8" s="1"/>
  <c r="O41" i="8" s="1"/>
  <c r="P41" i="8" s="1"/>
  <c r="Q41" i="8" s="1"/>
  <c r="R41" i="8" s="1"/>
  <c r="S41" i="8" s="1"/>
  <c r="T41" i="8" s="1"/>
  <c r="U41" i="8" s="1"/>
  <c r="V41" i="8" s="1"/>
  <c r="W41" i="8" s="1"/>
  <c r="X41" i="8" s="1"/>
  <c r="Y41" i="8" s="1"/>
  <c r="Z41" i="8" s="1"/>
  <c r="AA41" i="8" s="1"/>
  <c r="AB41" i="8" s="1"/>
  <c r="AC41" i="8" s="1"/>
  <c r="AD41" i="8" s="1"/>
  <c r="AE41" i="8" s="1"/>
  <c r="AF41" i="8" s="1"/>
  <c r="AG41" i="8" s="1"/>
  <c r="AH41" i="8" s="1"/>
  <c r="AI41" i="8" s="1"/>
  <c r="AJ41" i="8" s="1"/>
  <c r="AK41" i="8" s="1"/>
  <c r="P38" i="8"/>
  <c r="Q38" i="8" s="1"/>
  <c r="R38" i="8" s="1"/>
  <c r="S38" i="8" s="1"/>
  <c r="T38" i="8" s="1"/>
  <c r="S61" i="8"/>
  <c r="T61" i="8" s="1"/>
  <c r="U61" i="8" s="1"/>
  <c r="K37" i="8"/>
  <c r="L37" i="8" s="1"/>
  <c r="M37" i="8" s="1"/>
  <c r="N37" i="8" s="1"/>
  <c r="O37" i="8" s="1"/>
  <c r="P37" i="8" s="1"/>
  <c r="Q37" i="8" s="1"/>
  <c r="R37" i="8" s="1"/>
  <c r="S37" i="8" s="1"/>
  <c r="T37" i="8" s="1"/>
  <c r="U37" i="8" s="1"/>
  <c r="V37" i="8" s="1"/>
  <c r="W37" i="8" s="1"/>
  <c r="X37" i="8" s="1"/>
  <c r="Y37" i="8" s="1"/>
  <c r="Z37" i="8" s="1"/>
  <c r="AA37" i="8" s="1"/>
  <c r="AB37" i="8" s="1"/>
  <c r="AC37" i="8" s="1"/>
  <c r="AD37" i="8" s="1"/>
  <c r="AE37" i="8" s="1"/>
  <c r="AF37" i="8" s="1"/>
  <c r="AG37" i="8" s="1"/>
  <c r="AH37" i="8" s="1"/>
  <c r="AI37" i="8" s="1"/>
  <c r="AJ37" i="8" s="1"/>
  <c r="AK37" i="8" s="1"/>
  <c r="I36" i="8"/>
  <c r="J36" i="8" s="1"/>
  <c r="K36" i="8" s="1"/>
  <c r="L36" i="8" s="1"/>
  <c r="M36" i="8" s="1"/>
  <c r="N36" i="8" s="1"/>
  <c r="O36" i="8" s="1"/>
  <c r="P36" i="8" s="1"/>
  <c r="Q36" i="8" s="1"/>
  <c r="R36" i="8" s="1"/>
  <c r="S36" i="8" s="1"/>
  <c r="T36" i="8" s="1"/>
  <c r="U36" i="8" s="1"/>
  <c r="V36" i="8" s="1"/>
  <c r="W36" i="8" s="1"/>
  <c r="V144" i="8"/>
  <c r="W144" i="8" s="1"/>
  <c r="X144" i="8" s="1"/>
  <c r="Y144" i="8" s="1"/>
  <c r="T35" i="8"/>
  <c r="U35" i="8" s="1"/>
  <c r="V35" i="8" s="1"/>
  <c r="W35" i="8" s="1"/>
  <c r="X35" i="8" s="1"/>
  <c r="J76" i="4"/>
  <c r="K76" i="4" s="1"/>
  <c r="L76" i="4" s="1"/>
  <c r="M76" i="4" s="1"/>
  <c r="N76" i="4" s="1"/>
  <c r="L128" i="8"/>
  <c r="M128" i="8" s="1"/>
  <c r="N128" i="8" s="1"/>
  <c r="O128" i="8" s="1"/>
  <c r="P128" i="8" s="1"/>
  <c r="Q128" i="8" s="1"/>
  <c r="R128" i="8" s="1"/>
  <c r="S128" i="8" s="1"/>
  <c r="T128" i="8" s="1"/>
  <c r="U128" i="8" s="1"/>
  <c r="V128" i="8" s="1"/>
  <c r="S129" i="8"/>
  <c r="T129" i="8" s="1"/>
  <c r="U129" i="8" s="1"/>
  <c r="V129" i="8" s="1"/>
  <c r="W129" i="8" s="1"/>
  <c r="X129" i="8" s="1"/>
  <c r="Y129" i="8" s="1"/>
  <c r="AA130" i="8"/>
  <c r="AB130" i="8" s="1"/>
  <c r="AC130" i="8" s="1"/>
  <c r="AD130" i="8" s="1"/>
  <c r="AE130" i="8" s="1"/>
  <c r="AF130" i="8" s="1"/>
  <c r="AG130" i="8" s="1"/>
  <c r="AH130" i="8" s="1"/>
  <c r="AI130" i="8" s="1"/>
  <c r="AJ130" i="8" s="1"/>
  <c r="AK130" i="8" s="1"/>
  <c r="Z131" i="8"/>
  <c r="AA131" i="8" s="1"/>
  <c r="AB131" i="8" s="1"/>
  <c r="AC131" i="8" s="1"/>
  <c r="AD131" i="8" s="1"/>
  <c r="AE131" i="8" s="1"/>
  <c r="AF131" i="8" s="1"/>
  <c r="AG131" i="8" s="1"/>
  <c r="AH131" i="8" s="1"/>
  <c r="AI131" i="8" s="1"/>
  <c r="AJ131" i="8" s="1"/>
  <c r="AK131" i="8" s="1"/>
  <c r="P149" i="8"/>
  <c r="Q149" i="8" s="1"/>
  <c r="R149" i="8" s="1"/>
  <c r="S149" i="8" s="1"/>
  <c r="T149" i="8" s="1"/>
  <c r="U149" i="8" s="1"/>
  <c r="V149" i="8" s="1"/>
  <c r="W149" i="8" s="1"/>
  <c r="X149" i="8" s="1"/>
  <c r="Y149" i="8" s="1"/>
  <c r="Z149" i="8" s="1"/>
  <c r="AA149" i="8" s="1"/>
  <c r="AB149" i="8" s="1"/>
  <c r="AC149" i="8" s="1"/>
  <c r="AD149" i="8" s="1"/>
  <c r="AE149" i="8" s="1"/>
  <c r="AF149" i="8" s="1"/>
  <c r="AG149" i="8" s="1"/>
  <c r="AH149" i="8" s="1"/>
  <c r="AI149" i="8" s="1"/>
  <c r="AJ149" i="8" s="1"/>
  <c r="AK149" i="8" s="1"/>
  <c r="S132" i="8"/>
  <c r="T132" i="8" s="1"/>
  <c r="U132" i="8" s="1"/>
  <c r="V132" i="8" s="1"/>
  <c r="W132" i="8" s="1"/>
  <c r="X132" i="8" s="1"/>
  <c r="Y132" i="8" s="1"/>
  <c r="S127" i="8"/>
  <c r="T127" i="8" s="1"/>
  <c r="U127" i="8" s="1"/>
  <c r="V127" i="8" s="1"/>
  <c r="W127" i="8" s="1"/>
  <c r="X127" i="8" s="1"/>
  <c r="U7" i="9"/>
  <c r="I192" i="4"/>
  <c r="J192" i="4" s="1"/>
  <c r="K192" i="4" s="1"/>
  <c r="J201" i="4"/>
  <c r="K201" i="4" s="1"/>
  <c r="M191" i="4"/>
  <c r="N191" i="4" s="1"/>
  <c r="M195" i="4"/>
  <c r="N195" i="4" s="1"/>
  <c r="AI153" i="8"/>
  <c r="AJ153" i="8" s="1"/>
  <c r="AK153" i="8" s="1"/>
  <c r="X152" i="8"/>
  <c r="Y152" i="8" s="1"/>
  <c r="Z152" i="8" s="1"/>
  <c r="AA152" i="8" s="1"/>
  <c r="AB152" i="8" s="1"/>
  <c r="AC152" i="8" s="1"/>
  <c r="AD152" i="8" s="1"/>
  <c r="AE152" i="8" s="1"/>
  <c r="AF152" i="8" s="1"/>
  <c r="AG152" i="8" s="1"/>
  <c r="AH152" i="8" s="1"/>
  <c r="AI152" i="8" s="1"/>
  <c r="AJ152" i="8" s="1"/>
  <c r="AK152" i="8" s="1"/>
  <c r="AE91" i="8"/>
  <c r="AF91" i="8" s="1"/>
  <c r="AG91" i="8" s="1"/>
  <c r="X155" i="8"/>
  <c r="Y155" i="8" s="1"/>
  <c r="Z155" i="8" s="1"/>
  <c r="AA155" i="8" s="1"/>
  <c r="AB155" i="8" s="1"/>
  <c r="AC155" i="8" s="1"/>
  <c r="AD155" i="8" s="1"/>
  <c r="AE155" i="8" s="1"/>
  <c r="AF155" i="8" s="1"/>
  <c r="AG155" i="8" s="1"/>
  <c r="AH155" i="8" s="1"/>
  <c r="S89" i="8"/>
  <c r="T89" i="8" s="1"/>
  <c r="U89" i="8" s="1"/>
  <c r="V89" i="8" s="1"/>
  <c r="W89" i="8" s="1"/>
  <c r="X89" i="8" s="1"/>
  <c r="Y89" i="8" s="1"/>
  <c r="Z89" i="8" s="1"/>
  <c r="AA89" i="8" s="1"/>
  <c r="AB89" i="8" s="1"/>
  <c r="AC89" i="8" s="1"/>
  <c r="AD89" i="8" s="1"/>
  <c r="AE89" i="8" s="1"/>
  <c r="AF89" i="8" s="1"/>
  <c r="AE90" i="8"/>
  <c r="AF90" i="8" s="1"/>
  <c r="AG90" i="8" s="1"/>
  <c r="AH90" i="8" s="1"/>
  <c r="AI90" i="8" s="1"/>
  <c r="AJ90" i="8" s="1"/>
  <c r="AK90" i="8" s="1"/>
  <c r="X154" i="8"/>
  <c r="Y154" i="8" s="1"/>
  <c r="Z154" i="8" s="1"/>
  <c r="AA154" i="8" s="1"/>
  <c r="AB154" i="8" s="1"/>
  <c r="AC154" i="8" s="1"/>
  <c r="AD154" i="8" s="1"/>
  <c r="M16" i="9"/>
  <c r="M15" i="9"/>
  <c r="M14" i="9"/>
  <c r="M13" i="9"/>
  <c r="M12" i="9"/>
  <c r="M11" i="9"/>
  <c r="M10" i="9"/>
  <c r="X415" i="1"/>
  <c r="X413" i="1"/>
  <c r="X414" i="1"/>
  <c r="E86" i="4"/>
  <c r="F86" i="4" s="1"/>
  <c r="G86" i="4" s="1"/>
  <c r="R29" i="9"/>
  <c r="S29" i="9" s="1"/>
  <c r="T29" i="9" s="1"/>
  <c r="U29" i="9" s="1"/>
  <c r="V29" i="9" s="1"/>
  <c r="W29" i="9" s="1"/>
  <c r="X29" i="9" s="1"/>
  <c r="Y29" i="9" s="1"/>
  <c r="Z29" i="9" s="1"/>
  <c r="AA29" i="9" s="1"/>
  <c r="AB29" i="9" s="1"/>
  <c r="AC29" i="9" s="1"/>
  <c r="AD29" i="9" s="1"/>
  <c r="AE29" i="9" s="1"/>
  <c r="AF29" i="9" s="1"/>
  <c r="AG29" i="9" s="1"/>
  <c r="AH29" i="9" s="1"/>
  <c r="AI29" i="9" s="1"/>
  <c r="AJ29" i="9" s="1"/>
  <c r="AK29" i="9" s="1"/>
  <c r="AL29" i="9" s="1"/>
  <c r="AM29" i="9" s="1"/>
  <c r="AN29" i="9" s="1"/>
  <c r="AO29" i="9" s="1"/>
  <c r="AP29" i="9" s="1"/>
  <c r="AQ29" i="9" s="1"/>
  <c r="AR29" i="9" s="1"/>
  <c r="AS29" i="9" s="1"/>
  <c r="AT29" i="9" s="1"/>
  <c r="AU29" i="9" s="1"/>
  <c r="AV29" i="9" s="1"/>
  <c r="AW29" i="9" s="1"/>
  <c r="AX29" i="9" s="1"/>
  <c r="C24" i="7"/>
  <c r="D24" i="7" s="1"/>
  <c r="E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C4" i="7"/>
  <c r="D4" i="7" s="1"/>
  <c r="E4" i="7" s="1"/>
  <c r="F4" i="7" s="1"/>
  <c r="C44" i="8"/>
  <c r="D44" i="8" s="1"/>
  <c r="E44" i="8" s="1"/>
  <c r="F44" i="8" s="1"/>
  <c r="C42" i="8"/>
  <c r="D42" i="8" s="1"/>
  <c r="E42" i="8" s="1"/>
  <c r="F42" i="8" s="1"/>
  <c r="G42" i="8" s="1"/>
  <c r="H42" i="8" s="1"/>
  <c r="I42" i="8" s="1"/>
  <c r="J42" i="8" s="1"/>
  <c r="K42" i="8" s="1"/>
  <c r="L42" i="8" s="1"/>
  <c r="C43" i="8"/>
  <c r="D43" i="8" s="1"/>
  <c r="E43" i="8" s="1"/>
  <c r="R8" i="8" l="1"/>
  <c r="S8" i="8" s="1"/>
  <c r="T8" i="8" s="1"/>
  <c r="U8" i="8" s="1"/>
  <c r="Q8" i="8"/>
  <c r="Q185" i="8"/>
  <c r="R185" i="8" s="1"/>
  <c r="S185" i="8" s="1"/>
  <c r="T185" i="8" s="1"/>
  <c r="U185" i="8" s="1"/>
  <c r="V185" i="8" s="1"/>
  <c r="W185" i="8" s="1"/>
  <c r="X185" i="8" s="1"/>
  <c r="Y185" i="8" s="1"/>
  <c r="Z185" i="8" s="1"/>
  <c r="AA185" i="8" s="1"/>
  <c r="AB185" i="8" s="1"/>
  <c r="AC185" i="8" s="1"/>
  <c r="AD185" i="8" s="1"/>
  <c r="AE185" i="8" s="1"/>
  <c r="AF185" i="8" s="1"/>
  <c r="AG185" i="8" s="1"/>
  <c r="AH185" i="8" s="1"/>
  <c r="AI185" i="8" s="1"/>
  <c r="AJ185" i="8" s="1"/>
  <c r="AK185" i="8" s="1"/>
  <c r="Q10" i="8"/>
  <c r="R10" i="8" s="1"/>
  <c r="S10" i="8" s="1"/>
  <c r="T10" i="8" s="1"/>
  <c r="U10" i="8" s="1"/>
  <c r="Q187" i="8"/>
  <c r="R187" i="8" s="1"/>
  <c r="S187" i="8" s="1"/>
  <c r="T187" i="8" s="1"/>
  <c r="U187" i="8" s="1"/>
  <c r="V187" i="8" s="1"/>
  <c r="W187" i="8" s="1"/>
  <c r="X187" i="8" s="1"/>
  <c r="Y187" i="8" s="1"/>
  <c r="Z187" i="8" s="1"/>
  <c r="AA187" i="8" s="1"/>
  <c r="AB187" i="8" s="1"/>
  <c r="AC187" i="8" s="1"/>
  <c r="AD187" i="8" s="1"/>
  <c r="AE187" i="8" s="1"/>
  <c r="AF187" i="8" s="1"/>
  <c r="AG187" i="8" s="1"/>
  <c r="AH187" i="8" s="1"/>
  <c r="AI187" i="8" s="1"/>
  <c r="AJ187" i="8" s="1"/>
  <c r="AK187" i="8" s="1"/>
  <c r="AY29" i="9"/>
  <c r="P29" i="9"/>
  <c r="J77" i="4"/>
  <c r="K77" i="4" s="1"/>
  <c r="L59" i="4"/>
  <c r="M59" i="4" s="1"/>
  <c r="N59" i="4" s="1"/>
  <c r="L73" i="4"/>
  <c r="M73" i="4" s="1"/>
  <c r="N73" i="4" s="1"/>
  <c r="L68" i="4"/>
  <c r="M68" i="4" s="1"/>
  <c r="N68" i="4" s="1"/>
  <c r="J74" i="4"/>
  <c r="K74" i="4" s="1"/>
  <c r="L74" i="4" s="1"/>
  <c r="M74" i="4" s="1"/>
  <c r="N74" i="4" s="1"/>
  <c r="J72" i="4"/>
  <c r="K72" i="4" s="1"/>
  <c r="L72" i="4" s="1"/>
  <c r="M72" i="4" s="1"/>
  <c r="N72" i="4" s="1"/>
  <c r="L57" i="4"/>
  <c r="M57" i="4" s="1"/>
  <c r="N57" i="4" s="1"/>
  <c r="L56" i="4"/>
  <c r="M56" i="4" s="1"/>
  <c r="N56" i="4" s="1"/>
  <c r="L65" i="4"/>
  <c r="M65" i="4" s="1"/>
  <c r="N65" i="4" s="1"/>
  <c r="L63" i="4"/>
  <c r="M63" i="4" s="1"/>
  <c r="N63" i="4" s="1"/>
  <c r="L71" i="4"/>
  <c r="M71" i="4" s="1"/>
  <c r="N71" i="4" s="1"/>
  <c r="Z144" i="8"/>
  <c r="AA144" i="8" s="1"/>
  <c r="AB144" i="8" s="1"/>
  <c r="AC144" i="8" s="1"/>
  <c r="AD144" i="8" s="1"/>
  <c r="AE144" i="8" s="1"/>
  <c r="AF144" i="8" s="1"/>
  <c r="AG144" i="8" s="1"/>
  <c r="AH144" i="8" s="1"/>
  <c r="AI144" i="8" s="1"/>
  <c r="AJ144" i="8" s="1"/>
  <c r="AK144" i="8" s="1"/>
  <c r="U38" i="8"/>
  <c r="V38" i="8" s="1"/>
  <c r="W38" i="8" s="1"/>
  <c r="Z60" i="8"/>
  <c r="AA60" i="8" s="1"/>
  <c r="AB60" i="8" s="1"/>
  <c r="V143" i="8"/>
  <c r="W143" i="8" s="1"/>
  <c r="X143" i="8" s="1"/>
  <c r="Y143" i="8" s="1"/>
  <c r="Z143" i="8" s="1"/>
  <c r="AA143" i="8" s="1"/>
  <c r="AB143" i="8" s="1"/>
  <c r="AC143" i="8" s="1"/>
  <c r="AD143" i="8" s="1"/>
  <c r="AE143" i="8" s="1"/>
  <c r="AF143" i="8" s="1"/>
  <c r="AG143" i="8" s="1"/>
  <c r="AH143" i="8" s="1"/>
  <c r="AI143" i="8" s="1"/>
  <c r="AJ143" i="8" s="1"/>
  <c r="AK143" i="8" s="1"/>
  <c r="V61" i="8"/>
  <c r="W61" i="8" s="1"/>
  <c r="X61" i="8" s="1"/>
  <c r="Y61" i="8" s="1"/>
  <c r="U40" i="8"/>
  <c r="V40" i="8" s="1"/>
  <c r="W40" i="8" s="1"/>
  <c r="AA146" i="8"/>
  <c r="AB146" i="8" s="1"/>
  <c r="AC146" i="8" s="1"/>
  <c r="AD146" i="8" s="1"/>
  <c r="AE146" i="8" s="1"/>
  <c r="AF146" i="8" s="1"/>
  <c r="AG146" i="8" s="1"/>
  <c r="AH146" i="8" s="1"/>
  <c r="AI146" i="8" s="1"/>
  <c r="AJ146" i="8" s="1"/>
  <c r="AK146" i="8" s="1"/>
  <c r="Z146" i="8"/>
  <c r="Z141" i="8"/>
  <c r="AA141" i="8" s="1"/>
  <c r="AB141" i="8" s="1"/>
  <c r="AC141" i="8" s="1"/>
  <c r="AD141" i="8" s="1"/>
  <c r="AE141" i="8" s="1"/>
  <c r="AF141" i="8" s="1"/>
  <c r="AG141" i="8" s="1"/>
  <c r="AH141" i="8" s="1"/>
  <c r="AI141" i="8" s="1"/>
  <c r="AJ141" i="8" s="1"/>
  <c r="AK141" i="8" s="1"/>
  <c r="Y35" i="8"/>
  <c r="Z35" i="8" s="1"/>
  <c r="AA35" i="8" s="1"/>
  <c r="AB35" i="8" s="1"/>
  <c r="AC35" i="8" s="1"/>
  <c r="X36" i="8"/>
  <c r="Y36" i="8" s="1"/>
  <c r="Z36" i="8" s="1"/>
  <c r="AA36" i="8" s="1"/>
  <c r="AB36" i="8" s="1"/>
  <c r="AC36" i="8" s="1"/>
  <c r="AD36" i="8" s="1"/>
  <c r="AE36" i="8" s="1"/>
  <c r="AF36" i="8" s="1"/>
  <c r="AG36" i="8" s="1"/>
  <c r="AH36" i="8" s="1"/>
  <c r="AI36" i="8" s="1"/>
  <c r="AJ36" i="8" s="1"/>
  <c r="AK36" i="8" s="1"/>
  <c r="W128" i="8"/>
  <c r="X128" i="8" s="1"/>
  <c r="Y128" i="8" s="1"/>
  <c r="Z128" i="8" s="1"/>
  <c r="AA128" i="8" s="1"/>
  <c r="AB128" i="8" s="1"/>
  <c r="AC128" i="8" s="1"/>
  <c r="AD128" i="8" s="1"/>
  <c r="AE128" i="8" s="1"/>
  <c r="AF128" i="8" s="1"/>
  <c r="AG128" i="8" s="1"/>
  <c r="AH128" i="8" s="1"/>
  <c r="AI128" i="8" s="1"/>
  <c r="AJ128" i="8" s="1"/>
  <c r="AK128" i="8" s="1"/>
  <c r="Y127" i="8"/>
  <c r="Z127" i="8" s="1"/>
  <c r="AA127" i="8" s="1"/>
  <c r="AB127" i="8" s="1"/>
  <c r="Z132" i="8"/>
  <c r="AA132" i="8" s="1"/>
  <c r="AB132" i="8" s="1"/>
  <c r="AC132" i="8" s="1"/>
  <c r="AD132" i="8" s="1"/>
  <c r="AE132" i="8" s="1"/>
  <c r="AF132" i="8" s="1"/>
  <c r="AG132" i="8" s="1"/>
  <c r="AH132" i="8" s="1"/>
  <c r="AI132" i="8" s="1"/>
  <c r="AJ132" i="8" s="1"/>
  <c r="AK132" i="8" s="1"/>
  <c r="Z129" i="8"/>
  <c r="AA129" i="8" s="1"/>
  <c r="AB129" i="8" s="1"/>
  <c r="AC129" i="8" s="1"/>
  <c r="AD129" i="8" s="1"/>
  <c r="AE129" i="8" s="1"/>
  <c r="V7" i="9"/>
  <c r="L201" i="4"/>
  <c r="M201" i="4" s="1"/>
  <c r="N201" i="4" s="1"/>
  <c r="L192" i="4"/>
  <c r="M192" i="4" s="1"/>
  <c r="N192" i="4" s="1"/>
  <c r="Q24" i="7"/>
  <c r="R24" i="7" s="1"/>
  <c r="S24" i="7" s="1"/>
  <c r="T24" i="7" s="1"/>
  <c r="U24" i="7" s="1"/>
  <c r="V24" i="7" s="1"/>
  <c r="W24" i="7" s="1"/>
  <c r="X24" i="7" s="1"/>
  <c r="Y24" i="7" s="1"/>
  <c r="Z24" i="7" s="1"/>
  <c r="AA24" i="7" s="1"/>
  <c r="AB24" i="7" s="1"/>
  <c r="AC24" i="7" s="1"/>
  <c r="AD24" i="7" s="1"/>
  <c r="AE24" i="7" s="1"/>
  <c r="AF24" i="7" s="1"/>
  <c r="AG24" i="7" s="1"/>
  <c r="AH24" i="7" s="1"/>
  <c r="AI24" i="7" s="1"/>
  <c r="AJ24" i="7" s="1"/>
  <c r="G4" i="7"/>
  <c r="H4" i="7" s="1"/>
  <c r="I4" i="7" s="1"/>
  <c r="AI155" i="8"/>
  <c r="AJ155" i="8" s="1"/>
  <c r="AK155" i="8" s="1"/>
  <c r="AG89" i="8"/>
  <c r="AH89" i="8" s="1"/>
  <c r="AI89" i="8" s="1"/>
  <c r="AJ89" i="8" s="1"/>
  <c r="AK89" i="8" s="1"/>
  <c r="AE154" i="8"/>
  <c r="AF154" i="8" s="1"/>
  <c r="AG154" i="8" s="1"/>
  <c r="AH154" i="8" s="1"/>
  <c r="AI154" i="8" s="1"/>
  <c r="AJ154" i="8" s="1"/>
  <c r="AK154" i="8" s="1"/>
  <c r="AH91" i="8"/>
  <c r="AI91" i="8" s="1"/>
  <c r="AJ91" i="8" s="1"/>
  <c r="AK91" i="8" s="1"/>
  <c r="M42" i="8"/>
  <c r="N42" i="8" s="1"/>
  <c r="O42" i="8" s="1"/>
  <c r="P42" i="8" s="1"/>
  <c r="Q42" i="8" s="1"/>
  <c r="R42" i="8" s="1"/>
  <c r="S42" i="8" s="1"/>
  <c r="T42" i="8" s="1"/>
  <c r="U42" i="8" s="1"/>
  <c r="V42" i="8" s="1"/>
  <c r="F43" i="8"/>
  <c r="G43" i="8" s="1"/>
  <c r="H43" i="8" s="1"/>
  <c r="I43" i="8" s="1"/>
  <c r="J43" i="8" s="1"/>
  <c r="K43" i="8" s="1"/>
  <c r="L43" i="8" s="1"/>
  <c r="H86" i="4"/>
  <c r="I86" i="4" s="1"/>
  <c r="J86" i="4" s="1"/>
  <c r="K86" i="4" s="1"/>
  <c r="L86" i="4" s="1"/>
  <c r="J4" i="7"/>
  <c r="K4" i="7" s="1"/>
  <c r="G44" i="8"/>
  <c r="H44" i="8" s="1"/>
  <c r="I44" i="8" s="1"/>
  <c r="J44" i="8" s="1"/>
  <c r="K44" i="8" s="1"/>
  <c r="L44" i="8" s="1"/>
  <c r="M44" i="8" s="1"/>
  <c r="N44" i="8" s="1"/>
  <c r="O44" i="8" s="1"/>
  <c r="P44" i="8" s="1"/>
  <c r="Q44" i="8" s="1"/>
  <c r="R44" i="8" s="1"/>
  <c r="S44" i="8" s="1"/>
  <c r="T44" i="8" s="1"/>
  <c r="U44" i="8" s="1"/>
  <c r="V44" i="8" s="1"/>
  <c r="D3" i="4"/>
  <c r="E3" i="4" s="1"/>
  <c r="D2" i="4"/>
  <c r="E2" i="4" s="1"/>
  <c r="D5" i="4"/>
  <c r="E5" i="4" s="1"/>
  <c r="D4" i="4"/>
  <c r="E4" i="4" s="1"/>
  <c r="F4" i="4" s="1"/>
  <c r="E70" i="4"/>
  <c r="E62" i="4"/>
  <c r="D193" i="4"/>
  <c r="E193" i="4" s="1"/>
  <c r="E194" i="4"/>
  <c r="D87" i="4"/>
  <c r="O4" i="4"/>
  <c r="O2" i="4"/>
  <c r="L45" i="1"/>
  <c r="X45" i="1" s="1"/>
  <c r="L44" i="1"/>
  <c r="X44" i="1" s="1"/>
  <c r="E89" i="4"/>
  <c r="E88" i="4"/>
  <c r="F88" i="4" s="1"/>
  <c r="G88" i="4" s="1"/>
  <c r="D111" i="4"/>
  <c r="E111" i="4" s="1"/>
  <c r="F111" i="4" s="1"/>
  <c r="G111" i="4" s="1"/>
  <c r="H111" i="4" s="1"/>
  <c r="I111" i="4" s="1"/>
  <c r="J111" i="4" s="1"/>
  <c r="K111" i="4" s="1"/>
  <c r="L111" i="4" s="1"/>
  <c r="D110" i="4"/>
  <c r="E110" i="4" s="1"/>
  <c r="W10" i="8" l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AI10" i="8" s="1"/>
  <c r="AJ10" i="8" s="1"/>
  <c r="AK10" i="8" s="1"/>
  <c r="V10" i="8"/>
  <c r="V8" i="8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AI8" i="8" s="1"/>
  <c r="AJ8" i="8" s="1"/>
  <c r="AK8" i="8" s="1"/>
  <c r="F70" i="4"/>
  <c r="G70" i="4" s="1"/>
  <c r="L77" i="4"/>
  <c r="M77" i="4" s="1"/>
  <c r="N77" i="4" s="1"/>
  <c r="F62" i="4"/>
  <c r="G62" i="4" s="1"/>
  <c r="AA61" i="8"/>
  <c r="AB61" i="8" s="1"/>
  <c r="Z61" i="8"/>
  <c r="AC60" i="8"/>
  <c r="AD60" i="8" s="1"/>
  <c r="X40" i="8"/>
  <c r="Y40" i="8" s="1"/>
  <c r="Z40" i="8" s="1"/>
  <c r="AA40" i="8" s="1"/>
  <c r="AB40" i="8" s="1"/>
  <c r="AC40" i="8" s="1"/>
  <c r="AD40" i="8" s="1"/>
  <c r="AE40" i="8" s="1"/>
  <c r="AF40" i="8" s="1"/>
  <c r="AG40" i="8" s="1"/>
  <c r="AH40" i="8" s="1"/>
  <c r="AI40" i="8" s="1"/>
  <c r="AJ40" i="8" s="1"/>
  <c r="AK40" i="8" s="1"/>
  <c r="X38" i="8"/>
  <c r="Y38" i="8" s="1"/>
  <c r="Z38" i="8" s="1"/>
  <c r="AA38" i="8" s="1"/>
  <c r="AB38" i="8" s="1"/>
  <c r="AC38" i="8" s="1"/>
  <c r="AD38" i="8" s="1"/>
  <c r="AE38" i="8" s="1"/>
  <c r="AF38" i="8" s="1"/>
  <c r="AG38" i="8" s="1"/>
  <c r="AH38" i="8" s="1"/>
  <c r="AI38" i="8" s="1"/>
  <c r="AJ38" i="8" s="1"/>
  <c r="AK38" i="8" s="1"/>
  <c r="AD35" i="8"/>
  <c r="AE35" i="8" s="1"/>
  <c r="AC127" i="8"/>
  <c r="AD127" i="8" s="1"/>
  <c r="AE127" i="8" s="1"/>
  <c r="AF127" i="8" s="1"/>
  <c r="AG127" i="8" s="1"/>
  <c r="AH127" i="8" s="1"/>
  <c r="AI127" i="8" s="1"/>
  <c r="AJ127" i="8" s="1"/>
  <c r="AK127" i="8" s="1"/>
  <c r="AF129" i="8"/>
  <c r="AG129" i="8" s="1"/>
  <c r="AH129" i="8" s="1"/>
  <c r="AI129" i="8" s="1"/>
  <c r="AJ129" i="8" s="1"/>
  <c r="AK129" i="8" s="1"/>
  <c r="W7" i="9"/>
  <c r="L4" i="7"/>
  <c r="M4" i="7" s="1"/>
  <c r="N4" i="7" s="1"/>
  <c r="O4" i="7" s="1"/>
  <c r="F193" i="4"/>
  <c r="G193" i="4" s="1"/>
  <c r="H193" i="4" s="1"/>
  <c r="F194" i="4"/>
  <c r="G194" i="4" s="1"/>
  <c r="H194" i="4" s="1"/>
  <c r="F3" i="4"/>
  <c r="G3" i="4" s="1"/>
  <c r="E87" i="4"/>
  <c r="F87" i="4" s="1"/>
  <c r="G87" i="4" s="1"/>
  <c r="H87" i="4" s="1"/>
  <c r="I87" i="4" s="1"/>
  <c r="J87" i="4" s="1"/>
  <c r="K87" i="4" s="1"/>
  <c r="L87" i="4" s="1"/>
  <c r="M87" i="4" s="1"/>
  <c r="N87" i="4" s="1"/>
  <c r="F2" i="4"/>
  <c r="G2" i="4" s="1"/>
  <c r="H2" i="4" s="1"/>
  <c r="I2" i="4" s="1"/>
  <c r="W42" i="8"/>
  <c r="X42" i="8" s="1"/>
  <c r="Y42" i="8" s="1"/>
  <c r="Z42" i="8" s="1"/>
  <c r="AA42" i="8" s="1"/>
  <c r="AB42" i="8" s="1"/>
  <c r="AC42" i="8" s="1"/>
  <c r="AD42" i="8" s="1"/>
  <c r="AE42" i="8" s="1"/>
  <c r="AF42" i="8" s="1"/>
  <c r="AG42" i="8" s="1"/>
  <c r="AH42" i="8" s="1"/>
  <c r="AI42" i="8" s="1"/>
  <c r="AJ42" i="8" s="1"/>
  <c r="AK42" i="8" s="1"/>
  <c r="M43" i="8"/>
  <c r="N43" i="8" s="1"/>
  <c r="O43" i="8" s="1"/>
  <c r="P43" i="8" s="1"/>
  <c r="Q43" i="8" s="1"/>
  <c r="R43" i="8" s="1"/>
  <c r="S43" i="8" s="1"/>
  <c r="T43" i="8" s="1"/>
  <c r="U43" i="8" s="1"/>
  <c r="V43" i="8" s="1"/>
  <c r="W43" i="8" s="1"/>
  <c r="X43" i="8" s="1"/>
  <c r="Y43" i="8" s="1"/>
  <c r="Z43" i="8" s="1"/>
  <c r="AA43" i="8" s="1"/>
  <c r="AB43" i="8" s="1"/>
  <c r="AC43" i="8" s="1"/>
  <c r="AD43" i="8" s="1"/>
  <c r="AE43" i="8" s="1"/>
  <c r="AF43" i="8" s="1"/>
  <c r="AG43" i="8" s="1"/>
  <c r="AH43" i="8" s="1"/>
  <c r="AI43" i="8" s="1"/>
  <c r="AJ43" i="8" s="1"/>
  <c r="AK43" i="8" s="1"/>
  <c r="W44" i="8"/>
  <c r="X44" i="8" s="1"/>
  <c r="Y44" i="8" s="1"/>
  <c r="Z44" i="8" s="1"/>
  <c r="AA44" i="8" s="1"/>
  <c r="AB44" i="8" s="1"/>
  <c r="AC44" i="8" s="1"/>
  <c r="AD44" i="8" s="1"/>
  <c r="AE44" i="8" s="1"/>
  <c r="AF44" i="8" s="1"/>
  <c r="AG44" i="8" s="1"/>
  <c r="AH44" i="8" s="1"/>
  <c r="AI44" i="8" s="1"/>
  <c r="AJ44" i="8" s="1"/>
  <c r="AK44" i="8" s="1"/>
  <c r="F89" i="4"/>
  <c r="G89" i="4" s="1"/>
  <c r="H89" i="4" s="1"/>
  <c r="I89" i="4" s="1"/>
  <c r="F5" i="4"/>
  <c r="G5" i="4" s="1"/>
  <c r="H88" i="4"/>
  <c r="I88" i="4" s="1"/>
  <c r="J88" i="4" s="1"/>
  <c r="K88" i="4" s="1"/>
  <c r="L88" i="4" s="1"/>
  <c r="M88" i="4" s="1"/>
  <c r="N88" i="4" s="1"/>
  <c r="G4" i="4"/>
  <c r="M111" i="4"/>
  <c r="N111" i="4" s="1"/>
  <c r="F110" i="4"/>
  <c r="G110" i="4" s="1"/>
  <c r="H110" i="4" s="1"/>
  <c r="I110" i="4" s="1"/>
  <c r="J110" i="4" s="1"/>
  <c r="K110" i="4" s="1"/>
  <c r="L110" i="4" s="1"/>
  <c r="M110" i="4" s="1"/>
  <c r="N110" i="4" s="1"/>
  <c r="H62" i="4" l="1"/>
  <c r="I62" i="4" s="1"/>
  <c r="J62" i="4" s="1"/>
  <c r="K62" i="4" s="1"/>
  <c r="L62" i="4" s="1"/>
  <c r="M62" i="4" s="1"/>
  <c r="N62" i="4" s="1"/>
  <c r="H70" i="4"/>
  <c r="I70" i="4" s="1"/>
  <c r="AC61" i="8"/>
  <c r="AD61" i="8" s="1"/>
  <c r="AE60" i="8"/>
  <c r="AF60" i="8" s="1"/>
  <c r="AG60" i="8" s="1"/>
  <c r="AH60" i="8" s="1"/>
  <c r="AI60" i="8" s="1"/>
  <c r="AJ60" i="8" s="1"/>
  <c r="AK60" i="8" s="1"/>
  <c r="AF35" i="8"/>
  <c r="AG35" i="8" s="1"/>
  <c r="AH35" i="8" s="1"/>
  <c r="AI35" i="8" s="1"/>
  <c r="AJ35" i="8" s="1"/>
  <c r="AK35" i="8" s="1"/>
  <c r="X7" i="9"/>
  <c r="P4" i="7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AJ4" i="7" s="1"/>
  <c r="I194" i="4"/>
  <c r="J194" i="4" s="1"/>
  <c r="K194" i="4" s="1"/>
  <c r="I193" i="4"/>
  <c r="J193" i="4" s="1"/>
  <c r="K193" i="4" s="1"/>
  <c r="J2" i="4"/>
  <c r="K2" i="4" s="1"/>
  <c r="H3" i="4"/>
  <c r="I3" i="4" s="1"/>
  <c r="M86" i="4"/>
  <c r="N86" i="4" s="1"/>
  <c r="H5" i="4"/>
  <c r="I5" i="4" s="1"/>
  <c r="J89" i="4"/>
  <c r="K89" i="4" s="1"/>
  <c r="H4" i="4"/>
  <c r="I4" i="4" s="1"/>
  <c r="J70" i="4" l="1"/>
  <c r="K70" i="4" s="1"/>
  <c r="AE61" i="8"/>
  <c r="AF61" i="8" s="1"/>
  <c r="Y7" i="9"/>
  <c r="L193" i="4"/>
  <c r="M193" i="4" s="1"/>
  <c r="N193" i="4" s="1"/>
  <c r="L194" i="4"/>
  <c r="M194" i="4" s="1"/>
  <c r="N194" i="4" s="1"/>
  <c r="J3" i="4"/>
  <c r="K3" i="4" s="1"/>
  <c r="L3" i="4" s="1"/>
  <c r="M3" i="4" s="1"/>
  <c r="N3" i="4" s="1"/>
  <c r="L2" i="4"/>
  <c r="M2" i="4" s="1"/>
  <c r="N2" i="4" s="1"/>
  <c r="J5" i="4"/>
  <c r="K5" i="4" s="1"/>
  <c r="L89" i="4"/>
  <c r="M89" i="4" s="1"/>
  <c r="N89" i="4" s="1"/>
  <c r="J4" i="4"/>
  <c r="K4" i="4" s="1"/>
  <c r="L70" i="4" l="1"/>
  <c r="M70" i="4" s="1"/>
  <c r="N70" i="4" s="1"/>
  <c r="AG61" i="8"/>
  <c r="AH61" i="8" s="1"/>
  <c r="AI61" i="8" s="1"/>
  <c r="AJ61" i="8" s="1"/>
  <c r="AK61" i="8" s="1"/>
  <c r="Z7" i="9"/>
  <c r="L5" i="4"/>
  <c r="M5" i="4" s="1"/>
  <c r="N5" i="4" s="1"/>
  <c r="L4" i="4"/>
  <c r="M4" i="4" s="1"/>
  <c r="N4" i="4" s="1"/>
  <c r="AA7" i="9" l="1"/>
  <c r="M9" i="9"/>
  <c r="M8" i="9"/>
  <c r="M7" i="9"/>
  <c r="E109" i="4"/>
  <c r="F109" i="4" s="1"/>
  <c r="G109" i="4" s="1"/>
  <c r="H109" i="4" s="1"/>
  <c r="I109" i="4" s="1"/>
  <c r="J109" i="4" s="1"/>
  <c r="K109" i="4" s="1"/>
  <c r="L109" i="4" s="1"/>
  <c r="M109" i="4" s="1"/>
  <c r="N109" i="4" s="1"/>
  <c r="E108" i="4"/>
  <c r="F108" i="4" s="1"/>
  <c r="G108" i="4" s="1"/>
  <c r="H108" i="4" s="1"/>
  <c r="I108" i="4" s="1"/>
  <c r="J108" i="4" s="1"/>
  <c r="K108" i="4" s="1"/>
  <c r="L108" i="4" s="1"/>
  <c r="M108" i="4" s="1"/>
  <c r="N108" i="4" s="1"/>
  <c r="E107" i="4"/>
  <c r="F107" i="4" s="1"/>
  <c r="G107" i="4" s="1"/>
  <c r="H107" i="4" s="1"/>
  <c r="E106" i="4"/>
  <c r="F106" i="4" s="1"/>
  <c r="G106" i="4" s="1"/>
  <c r="H106" i="4" s="1"/>
  <c r="I106" i="4" s="1"/>
  <c r="J106" i="4" s="1"/>
  <c r="K106" i="4" s="1"/>
  <c r="L106" i="4" s="1"/>
  <c r="M106" i="4" s="1"/>
  <c r="N106" i="4" s="1"/>
  <c r="E105" i="4"/>
  <c r="F105" i="4" s="1"/>
  <c r="G105" i="4" s="1"/>
  <c r="H105" i="4" s="1"/>
  <c r="I105" i="4" s="1"/>
  <c r="J105" i="4" s="1"/>
  <c r="K105" i="4" s="1"/>
  <c r="L105" i="4" s="1"/>
  <c r="M105" i="4" s="1"/>
  <c r="N105" i="4" s="1"/>
  <c r="E100" i="4"/>
  <c r="F100" i="4" s="1"/>
  <c r="G100" i="4" s="1"/>
  <c r="H100" i="4" s="1"/>
  <c r="I100" i="4" s="1"/>
  <c r="J100" i="4" s="1"/>
  <c r="E101" i="4"/>
  <c r="F101" i="4" s="1"/>
  <c r="G101" i="4" s="1"/>
  <c r="H101" i="4" s="1"/>
  <c r="I101" i="4" s="1"/>
  <c r="J101" i="4" s="1"/>
  <c r="E102" i="4"/>
  <c r="F102" i="4" s="1"/>
  <c r="G102" i="4" s="1"/>
  <c r="H102" i="4" s="1"/>
  <c r="I102" i="4" s="1"/>
  <c r="E103" i="4"/>
  <c r="F103" i="4" s="1"/>
  <c r="G103" i="4" s="1"/>
  <c r="E104" i="4"/>
  <c r="F104" i="4" s="1"/>
  <c r="G104" i="4" s="1"/>
  <c r="H104" i="4" s="1"/>
  <c r="I104" i="4" s="1"/>
  <c r="J104" i="4" s="1"/>
  <c r="Y2" i="1"/>
  <c r="Y3" i="1"/>
  <c r="Y4" i="1"/>
  <c r="C2" i="8"/>
  <c r="D2" i="8" s="1"/>
  <c r="E2" i="8" s="1"/>
  <c r="F2" i="8" s="1"/>
  <c r="G2" i="8" s="1"/>
  <c r="H2" i="8" s="1"/>
  <c r="I2" i="8" s="1"/>
  <c r="C3" i="8"/>
  <c r="D3" i="8" s="1"/>
  <c r="E3" i="8" s="1"/>
  <c r="F3" i="8" s="1"/>
  <c r="G3" i="8" s="1"/>
  <c r="C4" i="8"/>
  <c r="D4" i="8" s="1"/>
  <c r="E4" i="8" s="1"/>
  <c r="F4" i="8" s="1"/>
  <c r="G4" i="8" s="1"/>
  <c r="C169" i="8"/>
  <c r="D169" i="8" s="1"/>
  <c r="E169" i="8" s="1"/>
  <c r="F169" i="8" s="1"/>
  <c r="G169" i="8" s="1"/>
  <c r="H169" i="8" s="1"/>
  <c r="I169" i="8" s="1"/>
  <c r="J169" i="8" s="1"/>
  <c r="K169" i="8" s="1"/>
  <c r="L169" i="8" s="1"/>
  <c r="M169" i="8" s="1"/>
  <c r="N169" i="8" s="1"/>
  <c r="O169" i="8" s="1"/>
  <c r="P169" i="8" s="1"/>
  <c r="Q169" i="8" s="1"/>
  <c r="R169" i="8" s="1"/>
  <c r="S169" i="8" s="1"/>
  <c r="T169" i="8" s="1"/>
  <c r="U169" i="8" s="1"/>
  <c r="V169" i="8" s="1"/>
  <c r="W169" i="8" s="1"/>
  <c r="X169" i="8" s="1"/>
  <c r="Y169" i="8" s="1"/>
  <c r="Z169" i="8" s="1"/>
  <c r="AA169" i="8" s="1"/>
  <c r="AB169" i="8" s="1"/>
  <c r="AC169" i="8" s="1"/>
  <c r="AD169" i="8" s="1"/>
  <c r="AE169" i="8" s="1"/>
  <c r="AF169" i="8" s="1"/>
  <c r="AG169" i="8" s="1"/>
  <c r="AH169" i="8" s="1"/>
  <c r="AI169" i="8" s="1"/>
  <c r="AJ169" i="8" s="1"/>
  <c r="AK169" i="8" s="1"/>
  <c r="C168" i="8"/>
  <c r="D168" i="8" s="1"/>
  <c r="E168" i="8" s="1"/>
  <c r="F168" i="8" s="1"/>
  <c r="G168" i="8" s="1"/>
  <c r="H168" i="8" s="1"/>
  <c r="I168" i="8" s="1"/>
  <c r="J168" i="8" s="1"/>
  <c r="K168" i="8" s="1"/>
  <c r="L168" i="8" s="1"/>
  <c r="M168" i="8" s="1"/>
  <c r="N168" i="8" s="1"/>
  <c r="O168" i="8" s="1"/>
  <c r="P168" i="8" s="1"/>
  <c r="Q168" i="8" s="1"/>
  <c r="R168" i="8" s="1"/>
  <c r="S168" i="8" s="1"/>
  <c r="T168" i="8" s="1"/>
  <c r="U168" i="8" s="1"/>
  <c r="V168" i="8" s="1"/>
  <c r="W168" i="8" s="1"/>
  <c r="X168" i="8" s="1"/>
  <c r="Y168" i="8" s="1"/>
  <c r="Z168" i="8" s="1"/>
  <c r="AA168" i="8" s="1"/>
  <c r="AB168" i="8" s="1"/>
  <c r="AC168" i="8" s="1"/>
  <c r="AD168" i="8" s="1"/>
  <c r="AE168" i="8" s="1"/>
  <c r="AF168" i="8" s="1"/>
  <c r="AG168" i="8" s="1"/>
  <c r="AH168" i="8" s="1"/>
  <c r="AI168" i="8" s="1"/>
  <c r="AJ168" i="8" s="1"/>
  <c r="AK168" i="8" s="1"/>
  <c r="C167" i="8"/>
  <c r="D167" i="8" s="1"/>
  <c r="E167" i="8" s="1"/>
  <c r="F167" i="8" s="1"/>
  <c r="G167" i="8" s="1"/>
  <c r="H167" i="8" s="1"/>
  <c r="I167" i="8" s="1"/>
  <c r="J167" i="8" s="1"/>
  <c r="K167" i="8" s="1"/>
  <c r="L167" i="8" s="1"/>
  <c r="M167" i="8" s="1"/>
  <c r="N167" i="8" s="1"/>
  <c r="O167" i="8" s="1"/>
  <c r="P167" i="8" s="1"/>
  <c r="Q167" i="8" s="1"/>
  <c r="R167" i="8" s="1"/>
  <c r="S167" i="8" s="1"/>
  <c r="T167" i="8" s="1"/>
  <c r="U167" i="8" s="1"/>
  <c r="V167" i="8" s="1"/>
  <c r="W167" i="8" s="1"/>
  <c r="X167" i="8" s="1"/>
  <c r="Y167" i="8" s="1"/>
  <c r="Z167" i="8" s="1"/>
  <c r="AA167" i="8" s="1"/>
  <c r="AB167" i="8" s="1"/>
  <c r="AC167" i="8" s="1"/>
  <c r="AD167" i="8" s="1"/>
  <c r="AE167" i="8" s="1"/>
  <c r="AF167" i="8" s="1"/>
  <c r="AG167" i="8" s="1"/>
  <c r="AH167" i="8" s="1"/>
  <c r="AI167" i="8" s="1"/>
  <c r="AJ167" i="8" s="1"/>
  <c r="AK167" i="8" s="1"/>
  <c r="C71" i="8"/>
  <c r="D71" i="8" s="1"/>
  <c r="E71" i="8" s="1"/>
  <c r="F71" i="8" s="1"/>
  <c r="G71" i="8" s="1"/>
  <c r="C79" i="8"/>
  <c r="D79" i="8" s="1"/>
  <c r="E79" i="8" s="1"/>
  <c r="F79" i="8" s="1"/>
  <c r="G79" i="8" s="1"/>
  <c r="C134" i="8"/>
  <c r="D134" i="8" s="1"/>
  <c r="E134" i="8" s="1"/>
  <c r="F134" i="8" s="1"/>
  <c r="G134" i="8" s="1"/>
  <c r="H134" i="8" s="1"/>
  <c r="I134" i="8" s="1"/>
  <c r="J134" i="8" s="1"/>
  <c r="K134" i="8" s="1"/>
  <c r="L134" i="8" s="1"/>
  <c r="M134" i="8" s="1"/>
  <c r="N134" i="8" s="1"/>
  <c r="O134" i="8" s="1"/>
  <c r="P134" i="8" s="1"/>
  <c r="Q134" i="8" s="1"/>
  <c r="R134" i="8" s="1"/>
  <c r="S134" i="8" s="1"/>
  <c r="T134" i="8" s="1"/>
  <c r="U134" i="8" s="1"/>
  <c r="V134" i="8" s="1"/>
  <c r="W134" i="8" s="1"/>
  <c r="X134" i="8" s="1"/>
  <c r="Y134" i="8" s="1"/>
  <c r="Z134" i="8" s="1"/>
  <c r="AA134" i="8" s="1"/>
  <c r="AB134" i="8" s="1"/>
  <c r="AC134" i="8" s="1"/>
  <c r="AD134" i="8" s="1"/>
  <c r="AE134" i="8" s="1"/>
  <c r="AF134" i="8" s="1"/>
  <c r="AG134" i="8" s="1"/>
  <c r="AH134" i="8" s="1"/>
  <c r="AI134" i="8" s="1"/>
  <c r="AJ134" i="8" s="1"/>
  <c r="AK134" i="8" s="1"/>
  <c r="C133" i="8"/>
  <c r="D133" i="8" s="1"/>
  <c r="C34" i="8"/>
  <c r="D34" i="8" s="1"/>
  <c r="E34" i="8" s="1"/>
  <c r="F34" i="8" s="1"/>
  <c r="G34" i="8" s="1"/>
  <c r="H34" i="8" s="1"/>
  <c r="I34" i="8" s="1"/>
  <c r="J34" i="8" s="1"/>
  <c r="K34" i="8" s="1"/>
  <c r="L34" i="8" s="1"/>
  <c r="M34" i="8" s="1"/>
  <c r="N34" i="8" s="1"/>
  <c r="O34" i="8" s="1"/>
  <c r="P34" i="8" s="1"/>
  <c r="Q34" i="8" s="1"/>
  <c r="R34" i="8" s="1"/>
  <c r="S34" i="8" s="1"/>
  <c r="T34" i="8" s="1"/>
  <c r="U34" i="8" s="1"/>
  <c r="V34" i="8" s="1"/>
  <c r="W34" i="8" s="1"/>
  <c r="X34" i="8" s="1"/>
  <c r="Y34" i="8" s="1"/>
  <c r="Z34" i="8" s="1"/>
  <c r="AA34" i="8" s="1"/>
  <c r="AB34" i="8" s="1"/>
  <c r="AC34" i="8" s="1"/>
  <c r="AD34" i="8" s="1"/>
  <c r="AE34" i="8" s="1"/>
  <c r="AF34" i="8" s="1"/>
  <c r="AG34" i="8" s="1"/>
  <c r="AH34" i="8" s="1"/>
  <c r="AI34" i="8" s="1"/>
  <c r="AJ34" i="8" s="1"/>
  <c r="AK34" i="8" s="1"/>
  <c r="C33" i="8"/>
  <c r="D33" i="8" s="1"/>
  <c r="E33" i="8" s="1"/>
  <c r="F33" i="8" s="1"/>
  <c r="G33" i="8" s="1"/>
  <c r="H33" i="8" s="1"/>
  <c r="I33" i="8" s="1"/>
  <c r="J33" i="8" s="1"/>
  <c r="K33" i="8" s="1"/>
  <c r="L33" i="8" s="1"/>
  <c r="M33" i="8" s="1"/>
  <c r="N33" i="8" s="1"/>
  <c r="O33" i="8" s="1"/>
  <c r="P33" i="8" s="1"/>
  <c r="Q33" i="8" s="1"/>
  <c r="R33" i="8" s="1"/>
  <c r="S33" i="8" s="1"/>
  <c r="T33" i="8" s="1"/>
  <c r="U33" i="8" s="1"/>
  <c r="V33" i="8" s="1"/>
  <c r="W33" i="8" s="1"/>
  <c r="X33" i="8" s="1"/>
  <c r="Y33" i="8" s="1"/>
  <c r="Z33" i="8" s="1"/>
  <c r="AA33" i="8" s="1"/>
  <c r="AB33" i="8" s="1"/>
  <c r="AC33" i="8" s="1"/>
  <c r="AD33" i="8" s="1"/>
  <c r="AE33" i="8" s="1"/>
  <c r="AF33" i="8" s="1"/>
  <c r="AG33" i="8" s="1"/>
  <c r="AH33" i="8" s="1"/>
  <c r="AI33" i="8" s="1"/>
  <c r="AJ33" i="8" s="1"/>
  <c r="AK33" i="8" s="1"/>
  <c r="C24" i="8"/>
  <c r="D24" i="8" s="1"/>
  <c r="E24" i="8" s="1"/>
  <c r="F24" i="8" s="1"/>
  <c r="G24" i="8" s="1"/>
  <c r="H24" i="8" s="1"/>
  <c r="I24" i="8" s="1"/>
  <c r="J24" i="8" s="1"/>
  <c r="K24" i="8" s="1"/>
  <c r="L24" i="8" s="1"/>
  <c r="M24" i="8" s="1"/>
  <c r="N24" i="8" s="1"/>
  <c r="O24" i="8" s="1"/>
  <c r="P24" i="8" s="1"/>
  <c r="Q24" i="8" s="1"/>
  <c r="R24" i="8" s="1"/>
  <c r="S24" i="8" s="1"/>
  <c r="T24" i="8" s="1"/>
  <c r="U24" i="8" s="1"/>
  <c r="V24" i="8" s="1"/>
  <c r="W24" i="8" s="1"/>
  <c r="X24" i="8" s="1"/>
  <c r="Y24" i="8" s="1"/>
  <c r="Z24" i="8" s="1"/>
  <c r="AA24" i="8" s="1"/>
  <c r="AB24" i="8" s="1"/>
  <c r="AC24" i="8" s="1"/>
  <c r="AD24" i="8" s="1"/>
  <c r="AE24" i="8" s="1"/>
  <c r="AF24" i="8" s="1"/>
  <c r="AG24" i="8" s="1"/>
  <c r="AH24" i="8" s="1"/>
  <c r="AI24" i="8" s="1"/>
  <c r="AJ24" i="8" s="1"/>
  <c r="AK24" i="8" s="1"/>
  <c r="C26" i="8"/>
  <c r="D26" i="8" s="1"/>
  <c r="E26" i="8" s="1"/>
  <c r="F26" i="8" s="1"/>
  <c r="G26" i="8" s="1"/>
  <c r="H26" i="8" s="1"/>
  <c r="I26" i="8" s="1"/>
  <c r="J26" i="8" s="1"/>
  <c r="K26" i="8" s="1"/>
  <c r="L26" i="8" s="1"/>
  <c r="M26" i="8" s="1"/>
  <c r="N26" i="8" s="1"/>
  <c r="O26" i="8" s="1"/>
  <c r="P26" i="8" s="1"/>
  <c r="Q26" i="8" s="1"/>
  <c r="R26" i="8" s="1"/>
  <c r="S26" i="8" s="1"/>
  <c r="T26" i="8" s="1"/>
  <c r="U26" i="8" s="1"/>
  <c r="V26" i="8" s="1"/>
  <c r="W26" i="8" s="1"/>
  <c r="X26" i="8" s="1"/>
  <c r="Y26" i="8" s="1"/>
  <c r="Z26" i="8" s="1"/>
  <c r="AA26" i="8" s="1"/>
  <c r="AB26" i="8" s="1"/>
  <c r="AC26" i="8" s="1"/>
  <c r="AD26" i="8" s="1"/>
  <c r="AE26" i="8" s="1"/>
  <c r="AF26" i="8" s="1"/>
  <c r="AG26" i="8" s="1"/>
  <c r="AH26" i="8" s="1"/>
  <c r="AI26" i="8" s="1"/>
  <c r="AJ26" i="8" s="1"/>
  <c r="AK26" i="8" s="1"/>
  <c r="C25" i="8"/>
  <c r="D25" i="8" s="1"/>
  <c r="E25" i="8" s="1"/>
  <c r="F25" i="8" s="1"/>
  <c r="G25" i="8" s="1"/>
  <c r="H25" i="8" s="1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Y25" i="8" s="1"/>
  <c r="Z25" i="8" s="1"/>
  <c r="AA25" i="8" s="1"/>
  <c r="AB25" i="8" s="1"/>
  <c r="AC25" i="8" s="1"/>
  <c r="AD25" i="8" s="1"/>
  <c r="AE25" i="8" s="1"/>
  <c r="AF25" i="8" s="1"/>
  <c r="AG25" i="8" s="1"/>
  <c r="AH25" i="8" s="1"/>
  <c r="AI25" i="8" s="1"/>
  <c r="AJ25" i="8" s="1"/>
  <c r="AK25" i="8" s="1"/>
  <c r="C99" i="8"/>
  <c r="D99" i="8" s="1"/>
  <c r="E99" i="8" s="1"/>
  <c r="F99" i="8" s="1"/>
  <c r="G99" i="8" s="1"/>
  <c r="H99" i="8" s="1"/>
  <c r="I99" i="8" s="1"/>
  <c r="J99" i="8" s="1"/>
  <c r="K99" i="8" s="1"/>
  <c r="L99" i="8" s="1"/>
  <c r="M99" i="8" s="1"/>
  <c r="N99" i="8" s="1"/>
  <c r="O99" i="8" s="1"/>
  <c r="P99" i="8" s="1"/>
  <c r="Q99" i="8" s="1"/>
  <c r="R99" i="8" s="1"/>
  <c r="S99" i="8" s="1"/>
  <c r="T99" i="8" s="1"/>
  <c r="U99" i="8" s="1"/>
  <c r="V99" i="8" s="1"/>
  <c r="W99" i="8" s="1"/>
  <c r="X99" i="8" s="1"/>
  <c r="Y99" i="8" s="1"/>
  <c r="Z99" i="8" s="1"/>
  <c r="AA99" i="8" s="1"/>
  <c r="AB99" i="8" s="1"/>
  <c r="AC99" i="8" s="1"/>
  <c r="AD99" i="8" s="1"/>
  <c r="AE99" i="8" s="1"/>
  <c r="AF99" i="8" s="1"/>
  <c r="AG99" i="8" s="1"/>
  <c r="AH99" i="8" s="1"/>
  <c r="AI99" i="8" s="1"/>
  <c r="AJ99" i="8" s="1"/>
  <c r="AK99" i="8" s="1"/>
  <c r="C10" i="7"/>
  <c r="D10" i="7" s="1"/>
  <c r="E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C22" i="7"/>
  <c r="D22" i="7" s="1"/>
  <c r="E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D46" i="4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D45" i="4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D44" i="4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D47" i="4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E133" i="8" l="1"/>
  <c r="F133" i="8" s="1"/>
  <c r="G133" i="8" s="1"/>
  <c r="H133" i="8" s="1"/>
  <c r="I133" i="8" s="1"/>
  <c r="J133" i="8" s="1"/>
  <c r="K133" i="8" s="1"/>
  <c r="L133" i="8" s="1"/>
  <c r="M133" i="8" s="1"/>
  <c r="N133" i="8" s="1"/>
  <c r="O133" i="8" s="1"/>
  <c r="P133" i="8" s="1"/>
  <c r="Q133" i="8" s="1"/>
  <c r="R133" i="8" s="1"/>
  <c r="S133" i="8" s="1"/>
  <c r="T133" i="8" s="1"/>
  <c r="U133" i="8" s="1"/>
  <c r="V133" i="8" s="1"/>
  <c r="W133" i="8" s="1"/>
  <c r="X133" i="8" s="1"/>
  <c r="Y133" i="8" s="1"/>
  <c r="Z133" i="8" s="1"/>
  <c r="AA133" i="8" s="1"/>
  <c r="AB133" i="8" s="1"/>
  <c r="AC133" i="8" s="1"/>
  <c r="AD133" i="8" s="1"/>
  <c r="AE133" i="8" s="1"/>
  <c r="AF133" i="8" s="1"/>
  <c r="AG133" i="8" s="1"/>
  <c r="AH133" i="8" s="1"/>
  <c r="AI133" i="8" s="1"/>
  <c r="AJ133" i="8" s="1"/>
  <c r="AK133" i="8" s="1"/>
  <c r="H79" i="8"/>
  <c r="I79" i="8" s="1"/>
  <c r="J79" i="8" s="1"/>
  <c r="K79" i="8" s="1"/>
  <c r="L79" i="8" s="1"/>
  <c r="M79" i="8" s="1"/>
  <c r="N79" i="8" s="1"/>
  <c r="O79" i="8" s="1"/>
  <c r="P79" i="8" s="1"/>
  <c r="Q79" i="8" s="1"/>
  <c r="R79" i="8" s="1"/>
  <c r="S79" i="8" s="1"/>
  <c r="T79" i="8" s="1"/>
  <c r="U79" i="8" s="1"/>
  <c r="V79" i="8" s="1"/>
  <c r="W79" i="8" s="1"/>
  <c r="X79" i="8" s="1"/>
  <c r="Y79" i="8" s="1"/>
  <c r="Z79" i="8" s="1"/>
  <c r="AA79" i="8" s="1"/>
  <c r="AB79" i="8" s="1"/>
  <c r="AC79" i="8" s="1"/>
  <c r="AD79" i="8" s="1"/>
  <c r="AE79" i="8" s="1"/>
  <c r="AF79" i="8" s="1"/>
  <c r="AG79" i="8" s="1"/>
  <c r="AH79" i="8" s="1"/>
  <c r="AI79" i="8" s="1"/>
  <c r="AJ79" i="8" s="1"/>
  <c r="AK79" i="8" s="1"/>
  <c r="H71" i="8"/>
  <c r="I71" i="8" s="1"/>
  <c r="J71" i="8" s="1"/>
  <c r="K71" i="8" s="1"/>
  <c r="L71" i="8" s="1"/>
  <c r="M71" i="8" s="1"/>
  <c r="N71" i="8" s="1"/>
  <c r="O71" i="8" s="1"/>
  <c r="P71" i="8" s="1"/>
  <c r="Q71" i="8" s="1"/>
  <c r="R71" i="8" s="1"/>
  <c r="S71" i="8" s="1"/>
  <c r="T71" i="8" s="1"/>
  <c r="U71" i="8" s="1"/>
  <c r="V71" i="8" s="1"/>
  <c r="W71" i="8" s="1"/>
  <c r="X71" i="8" s="1"/>
  <c r="Y71" i="8" s="1"/>
  <c r="Z71" i="8" s="1"/>
  <c r="AA71" i="8" s="1"/>
  <c r="AB71" i="8" s="1"/>
  <c r="AC71" i="8" s="1"/>
  <c r="AD71" i="8" s="1"/>
  <c r="AE71" i="8" s="1"/>
  <c r="AF71" i="8" s="1"/>
  <c r="AG71" i="8" s="1"/>
  <c r="AH71" i="8" s="1"/>
  <c r="AI71" i="8" s="1"/>
  <c r="AJ71" i="8" s="1"/>
  <c r="AK71" i="8" s="1"/>
  <c r="AB7" i="9"/>
  <c r="AC7" i="9"/>
  <c r="V10" i="7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 s="1"/>
  <c r="AH10" i="7" s="1"/>
  <c r="AI10" i="7" s="1"/>
  <c r="AJ10" i="7" s="1"/>
  <c r="V22" i="7"/>
  <c r="W22" i="7" s="1"/>
  <c r="X22" i="7" s="1"/>
  <c r="Y22" i="7" s="1"/>
  <c r="Z22" i="7" s="1"/>
  <c r="AA22" i="7" s="1"/>
  <c r="AB22" i="7" s="1"/>
  <c r="AC22" i="7" s="1"/>
  <c r="AD22" i="7" s="1"/>
  <c r="AE22" i="7" s="1"/>
  <c r="AF22" i="7" s="1"/>
  <c r="AG22" i="7" s="1"/>
  <c r="AH22" i="7" s="1"/>
  <c r="AI22" i="7" s="1"/>
  <c r="AJ22" i="7" s="1"/>
  <c r="H103" i="4"/>
  <c r="I103" i="4" s="1"/>
  <c r="J103" i="4" s="1"/>
  <c r="K103" i="4" s="1"/>
  <c r="L103" i="4" s="1"/>
  <c r="M103" i="4" s="1"/>
  <c r="N103" i="4" s="1"/>
  <c r="J102" i="4"/>
  <c r="K102" i="4" s="1"/>
  <c r="L102" i="4" s="1"/>
  <c r="M102" i="4" s="1"/>
  <c r="N102" i="4" s="1"/>
  <c r="K100" i="4"/>
  <c r="L100" i="4" s="1"/>
  <c r="M100" i="4" s="1"/>
  <c r="N100" i="4" s="1"/>
  <c r="J2" i="8"/>
  <c r="K2" i="8" s="1"/>
  <c r="L2" i="8" s="1"/>
  <c r="I107" i="4"/>
  <c r="J107" i="4" s="1"/>
  <c r="K107" i="4" s="1"/>
  <c r="L107" i="4" s="1"/>
  <c r="M107" i="4" s="1"/>
  <c r="N107" i="4" s="1"/>
  <c r="K101" i="4"/>
  <c r="L101" i="4" s="1"/>
  <c r="M101" i="4" s="1"/>
  <c r="N101" i="4" s="1"/>
  <c r="H3" i="8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AI3" i="8" s="1"/>
  <c r="AJ3" i="8" s="1"/>
  <c r="AK3" i="8" s="1"/>
  <c r="H4" i="8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AI4" i="8" s="1"/>
  <c r="AJ4" i="8" s="1"/>
  <c r="AK4" i="8" s="1"/>
  <c r="S159" i="1"/>
  <c r="Y687" i="1"/>
  <c r="X410" i="1"/>
  <c r="X408" i="1"/>
  <c r="X407" i="1"/>
  <c r="X406" i="1"/>
  <c r="M2" i="8" l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AI2" i="8" s="1"/>
  <c r="AJ2" i="8" s="1"/>
  <c r="AK2" i="8" s="1"/>
  <c r="Q30" i="9"/>
  <c r="R30" i="9"/>
  <c r="S28" i="9"/>
  <c r="T28" i="9" s="1"/>
  <c r="C57" i="8"/>
  <c r="D57" i="8" s="1"/>
  <c r="E57" i="8" s="1"/>
  <c r="F57" i="8" s="1"/>
  <c r="G57" i="8" s="1"/>
  <c r="D95" i="4"/>
  <c r="E95" i="4" s="1"/>
  <c r="F95" i="4" s="1"/>
  <c r="G95" i="4" s="1"/>
  <c r="H95" i="4" s="1"/>
  <c r="I95" i="4" s="1"/>
  <c r="J95" i="4" s="1"/>
  <c r="K95" i="4" s="1"/>
  <c r="L95" i="4" s="1"/>
  <c r="M95" i="4" s="1"/>
  <c r="W447" i="1"/>
  <c r="P447" i="1"/>
  <c r="P1176" i="1"/>
  <c r="W1175" i="1"/>
  <c r="P1187" i="1"/>
  <c r="W1186" i="1"/>
  <c r="C178" i="8"/>
  <c r="D178" i="8" s="1"/>
  <c r="E178" i="8" s="1"/>
  <c r="Y631" i="1"/>
  <c r="Y628" i="1"/>
  <c r="Y625" i="1"/>
  <c r="P29" i="1"/>
  <c r="P28" i="1"/>
  <c r="P27" i="1"/>
  <c r="P26" i="1"/>
  <c r="D131" i="4"/>
  <c r="E131" i="4" s="1"/>
  <c r="F131" i="4" s="1"/>
  <c r="G131" i="4" s="1"/>
  <c r="H131" i="4" s="1"/>
  <c r="I131" i="4" s="1"/>
  <c r="J131" i="4" s="1"/>
  <c r="K131" i="4" s="1"/>
  <c r="L131" i="4" s="1"/>
  <c r="M131" i="4" s="1"/>
  <c r="N131" i="4" s="1"/>
  <c r="Y28" i="1"/>
  <c r="E19" i="9"/>
  <c r="C14" i="8"/>
  <c r="C15" i="8"/>
  <c r="D15" i="8" s="1"/>
  <c r="E15" i="8" s="1"/>
  <c r="D1" i="27"/>
  <c r="E1" i="27" s="1"/>
  <c r="F1" i="27" s="1"/>
  <c r="G1" i="27" s="1"/>
  <c r="H1" i="27" s="1"/>
  <c r="I1" i="27" s="1"/>
  <c r="J1" i="27" s="1"/>
  <c r="K1" i="27" s="1"/>
  <c r="L1" i="27" s="1"/>
  <c r="M1" i="27" s="1"/>
  <c r="N1" i="27" s="1"/>
  <c r="O1" i="27" s="1"/>
  <c r="P1" i="27" s="1"/>
  <c r="Q1" i="27" s="1"/>
  <c r="R1" i="27" s="1"/>
  <c r="S1" i="27" s="1"/>
  <c r="T1" i="27" s="1"/>
  <c r="U1" i="27" s="1"/>
  <c r="V1" i="27" s="1"/>
  <c r="W1" i="27" s="1"/>
  <c r="X1" i="27" s="1"/>
  <c r="Y1" i="27" s="1"/>
  <c r="Z1" i="27" s="1"/>
  <c r="AA1" i="27" s="1"/>
  <c r="AB1" i="27" s="1"/>
  <c r="AC1" i="27" s="1"/>
  <c r="AD1" i="27" s="1"/>
  <c r="AE1" i="27" s="1"/>
  <c r="Y123" i="1"/>
  <c r="Y124" i="1"/>
  <c r="Y1185" i="1"/>
  <c r="Y1168" i="1"/>
  <c r="P1168" i="1"/>
  <c r="W1167" i="1"/>
  <c r="P1185" i="1"/>
  <c r="W1184" i="1"/>
  <c r="P1184" i="1"/>
  <c r="W1183" i="1"/>
  <c r="U28" i="9" l="1"/>
  <c r="F178" i="8"/>
  <c r="G178" i="8" s="1"/>
  <c r="H178" i="8" s="1"/>
  <c r="I178" i="8" s="1"/>
  <c r="T30" i="9"/>
  <c r="S30" i="9"/>
  <c r="H57" i="8"/>
  <c r="I57" i="8" s="1"/>
  <c r="J57" i="8" s="1"/>
  <c r="K57" i="8" s="1"/>
  <c r="D189" i="4"/>
  <c r="E189" i="4" s="1"/>
  <c r="D188" i="4"/>
  <c r="E188" i="4" s="1"/>
  <c r="Y733" i="1"/>
  <c r="Y730" i="1"/>
  <c r="Y729" i="1"/>
  <c r="Y633" i="1"/>
  <c r="C46" i="8"/>
  <c r="D46" i="8" s="1"/>
  <c r="E46" i="8" s="1"/>
  <c r="F46" i="8" s="1"/>
  <c r="C47" i="8"/>
  <c r="D47" i="8" s="1"/>
  <c r="E47" i="8" s="1"/>
  <c r="F47" i="8" s="1"/>
  <c r="C48" i="8"/>
  <c r="D48" i="8" s="1"/>
  <c r="E48" i="8" s="1"/>
  <c r="F48" i="8" s="1"/>
  <c r="C45" i="8"/>
  <c r="D45" i="8" s="1"/>
  <c r="E45" i="8" s="1"/>
  <c r="F45" i="8" s="1"/>
  <c r="G45" i="8" s="1"/>
  <c r="H45" i="8" s="1"/>
  <c r="I45" i="8" s="1"/>
  <c r="J45" i="8" s="1"/>
  <c r="V28" i="9" l="1"/>
  <c r="G48" i="8"/>
  <c r="H48" i="8" s="1"/>
  <c r="I48" i="8" s="1"/>
  <c r="J48" i="8" s="1"/>
  <c r="K48" i="8" s="1"/>
  <c r="L48" i="8" s="1"/>
  <c r="L57" i="8"/>
  <c r="M57" i="8" s="1"/>
  <c r="N57" i="8" s="1"/>
  <c r="O57" i="8" s="1"/>
  <c r="P57" i="8" s="1"/>
  <c r="Q57" i="8" s="1"/>
  <c r="R57" i="8" s="1"/>
  <c r="S57" i="8" s="1"/>
  <c r="T57" i="8" s="1"/>
  <c r="U57" i="8" s="1"/>
  <c r="V57" i="8" s="1"/>
  <c r="W57" i="8" s="1"/>
  <c r="X57" i="8" s="1"/>
  <c r="Y57" i="8" s="1"/>
  <c r="Z57" i="8" s="1"/>
  <c r="AA57" i="8" s="1"/>
  <c r="AB57" i="8" s="1"/>
  <c r="AC57" i="8" s="1"/>
  <c r="AD57" i="8" s="1"/>
  <c r="AE57" i="8" s="1"/>
  <c r="AF57" i="8" s="1"/>
  <c r="AG57" i="8" s="1"/>
  <c r="AH57" i="8" s="1"/>
  <c r="AI57" i="8" s="1"/>
  <c r="AJ57" i="8" s="1"/>
  <c r="AK57" i="8" s="1"/>
  <c r="J178" i="8"/>
  <c r="K178" i="8" s="1"/>
  <c r="L178" i="8" s="1"/>
  <c r="M178" i="8" s="1"/>
  <c r="N178" i="8" s="1"/>
  <c r="O178" i="8" s="1"/>
  <c r="P178" i="8" s="1"/>
  <c r="Q178" i="8" s="1"/>
  <c r="R178" i="8" s="1"/>
  <c r="S178" i="8" s="1"/>
  <c r="T178" i="8" s="1"/>
  <c r="U178" i="8" s="1"/>
  <c r="V178" i="8" s="1"/>
  <c r="W178" i="8" s="1"/>
  <c r="X178" i="8" s="1"/>
  <c r="Y178" i="8" s="1"/>
  <c r="Z178" i="8" s="1"/>
  <c r="AA178" i="8" s="1"/>
  <c r="AB178" i="8" s="1"/>
  <c r="AC178" i="8" s="1"/>
  <c r="AD178" i="8" s="1"/>
  <c r="AE178" i="8" s="1"/>
  <c r="AF178" i="8" s="1"/>
  <c r="AG178" i="8" s="1"/>
  <c r="AH178" i="8" s="1"/>
  <c r="AI178" i="8" s="1"/>
  <c r="AJ178" i="8" s="1"/>
  <c r="AK178" i="8" s="1"/>
  <c r="U30" i="9"/>
  <c r="K45" i="8"/>
  <c r="L45" i="8" s="1"/>
  <c r="G46" i="8"/>
  <c r="H46" i="8" s="1"/>
  <c r="I46" i="8" s="1"/>
  <c r="G47" i="8"/>
  <c r="H47" i="8" s="1"/>
  <c r="I47" i="8" s="1"/>
  <c r="Y420" i="1"/>
  <c r="Y423" i="1"/>
  <c r="Y425" i="1"/>
  <c r="Y418" i="1"/>
  <c r="AE9" i="1"/>
  <c r="AE10" i="1"/>
  <c r="Y9" i="1"/>
  <c r="Y10" i="1"/>
  <c r="Y716" i="1"/>
  <c r="Y283" i="1"/>
  <c r="Y284" i="1"/>
  <c r="Y282" i="1"/>
  <c r="P284" i="1"/>
  <c r="P282" i="1"/>
  <c r="Y512" i="1"/>
  <c r="W28" i="9" l="1"/>
  <c r="M45" i="8"/>
  <c r="N45" i="8" s="1"/>
  <c r="O45" i="8" s="1"/>
  <c r="P45" i="8" s="1"/>
  <c r="Q45" i="8" s="1"/>
  <c r="V30" i="9"/>
  <c r="M48" i="8"/>
  <c r="N48" i="8" s="1"/>
  <c r="O48" i="8" s="1"/>
  <c r="P48" i="8" s="1"/>
  <c r="Q48" i="8" s="1"/>
  <c r="R48" i="8" s="1"/>
  <c r="S48" i="8" s="1"/>
  <c r="T48" i="8" s="1"/>
  <c r="U48" i="8" s="1"/>
  <c r="V48" i="8" s="1"/>
  <c r="W48" i="8" s="1"/>
  <c r="X48" i="8" s="1"/>
  <c r="Y48" i="8" s="1"/>
  <c r="Z48" i="8" s="1"/>
  <c r="AA48" i="8" s="1"/>
  <c r="AB48" i="8" s="1"/>
  <c r="AC48" i="8" s="1"/>
  <c r="AD48" i="8" s="1"/>
  <c r="AE48" i="8" s="1"/>
  <c r="AF48" i="8" s="1"/>
  <c r="AG48" i="8" s="1"/>
  <c r="AH48" i="8" s="1"/>
  <c r="AI48" i="8" s="1"/>
  <c r="AJ48" i="8" s="1"/>
  <c r="AK48" i="8" s="1"/>
  <c r="J46" i="8"/>
  <c r="K46" i="8" s="1"/>
  <c r="L46" i="8" s="1"/>
  <c r="M46" i="8" s="1"/>
  <c r="N46" i="8" s="1"/>
  <c r="O46" i="8" s="1"/>
  <c r="P46" i="8" s="1"/>
  <c r="Q46" i="8" s="1"/>
  <c r="J47" i="8"/>
  <c r="K47" i="8" s="1"/>
  <c r="L47" i="8" s="1"/>
  <c r="M47" i="8" s="1"/>
  <c r="N47" i="8" s="1"/>
  <c r="O47" i="8" s="1"/>
  <c r="P47" i="8" s="1"/>
  <c r="Q47" i="8" s="1"/>
  <c r="W411" i="1"/>
  <c r="Y412" i="1"/>
  <c r="Y411" i="1"/>
  <c r="X28" i="9" l="1"/>
  <c r="R45" i="8"/>
  <c r="S45" i="8" s="1"/>
  <c r="T45" i="8" s="1"/>
  <c r="U45" i="8" s="1"/>
  <c r="R46" i="8"/>
  <c r="S46" i="8" s="1"/>
  <c r="T46" i="8" s="1"/>
  <c r="U46" i="8" s="1"/>
  <c r="V46" i="8" s="1"/>
  <c r="W46" i="8" s="1"/>
  <c r="X46" i="8" s="1"/>
  <c r="Y46" i="8" s="1"/>
  <c r="Z46" i="8" s="1"/>
  <c r="AA46" i="8" s="1"/>
  <c r="AB46" i="8" s="1"/>
  <c r="AC46" i="8" s="1"/>
  <c r="AD46" i="8" s="1"/>
  <c r="AE46" i="8" s="1"/>
  <c r="AF46" i="8" s="1"/>
  <c r="AG46" i="8" s="1"/>
  <c r="AH46" i="8" s="1"/>
  <c r="AI46" i="8" s="1"/>
  <c r="AJ46" i="8" s="1"/>
  <c r="AK46" i="8" s="1"/>
  <c r="R47" i="8"/>
  <c r="S47" i="8" s="1"/>
  <c r="T47" i="8" s="1"/>
  <c r="U47" i="8" s="1"/>
  <c r="V47" i="8" s="1"/>
  <c r="W47" i="8" s="1"/>
  <c r="X47" i="8" s="1"/>
  <c r="Y47" i="8" s="1"/>
  <c r="Z47" i="8" s="1"/>
  <c r="AA47" i="8" s="1"/>
  <c r="AB47" i="8" s="1"/>
  <c r="AC47" i="8" s="1"/>
  <c r="AD47" i="8" s="1"/>
  <c r="AE47" i="8" s="1"/>
  <c r="AF47" i="8" s="1"/>
  <c r="AG47" i="8" s="1"/>
  <c r="AH47" i="8" s="1"/>
  <c r="AI47" i="8" s="1"/>
  <c r="AJ47" i="8" s="1"/>
  <c r="AK47" i="8" s="1"/>
  <c r="W30" i="9"/>
  <c r="F147" i="8"/>
  <c r="G147" i="8" s="1"/>
  <c r="C98" i="8"/>
  <c r="D98" i="8" s="1"/>
  <c r="E98" i="8" s="1"/>
  <c r="N95" i="4"/>
  <c r="D94" i="4"/>
  <c r="E94" i="4" s="1"/>
  <c r="F189" i="4"/>
  <c r="G189" i="4" s="1"/>
  <c r="F188" i="4"/>
  <c r="D132" i="4"/>
  <c r="E132" i="4" s="1"/>
  <c r="F132" i="4" s="1"/>
  <c r="D130" i="4"/>
  <c r="E130" i="4" s="1"/>
  <c r="F130" i="4" s="1"/>
  <c r="Y28" i="9" l="1"/>
  <c r="F98" i="8"/>
  <c r="G98" i="8" s="1"/>
  <c r="H98" i="8" s="1"/>
  <c r="I98" i="8" s="1"/>
  <c r="V45" i="8"/>
  <c r="W45" i="8" s="1"/>
  <c r="X45" i="8" s="1"/>
  <c r="Y45" i="8" s="1"/>
  <c r="Z45" i="8" s="1"/>
  <c r="AA45" i="8" s="1"/>
  <c r="AB45" i="8" s="1"/>
  <c r="AC45" i="8" s="1"/>
  <c r="AD45" i="8" s="1"/>
  <c r="AE45" i="8" s="1"/>
  <c r="AF45" i="8" s="1"/>
  <c r="AG45" i="8" s="1"/>
  <c r="AH45" i="8" s="1"/>
  <c r="AI45" i="8" s="1"/>
  <c r="AJ45" i="8" s="1"/>
  <c r="AK45" i="8" s="1"/>
  <c r="H147" i="8"/>
  <c r="I147" i="8" s="1"/>
  <c r="J147" i="8" s="1"/>
  <c r="G132" i="4"/>
  <c r="H132" i="4" s="1"/>
  <c r="I132" i="4" s="1"/>
  <c r="J132" i="4" s="1"/>
  <c r="K132" i="4" s="1"/>
  <c r="L132" i="4" s="1"/>
  <c r="F94" i="4"/>
  <c r="G94" i="4" s="1"/>
  <c r="H94" i="4" s="1"/>
  <c r="I94" i="4" s="1"/>
  <c r="J94" i="4" s="1"/>
  <c r="K94" i="4" s="1"/>
  <c r="L94" i="4" s="1"/>
  <c r="M94" i="4" s="1"/>
  <c r="N94" i="4" s="1"/>
  <c r="G130" i="4"/>
  <c r="H130" i="4" s="1"/>
  <c r="I130" i="4" s="1"/>
  <c r="J130" i="4" s="1"/>
  <c r="K130" i="4" s="1"/>
  <c r="G188" i="4"/>
  <c r="H188" i="4" s="1"/>
  <c r="I188" i="4" s="1"/>
  <c r="J188" i="4" s="1"/>
  <c r="K188" i="4" s="1"/>
  <c r="H189" i="4"/>
  <c r="I189" i="4" s="1"/>
  <c r="X30" i="9"/>
  <c r="Z28" i="9" l="1"/>
  <c r="K147" i="8"/>
  <c r="L147" i="8" s="1"/>
  <c r="M147" i="8" s="1"/>
  <c r="N147" i="8" s="1"/>
  <c r="O147" i="8" s="1"/>
  <c r="J98" i="8"/>
  <c r="K98" i="8" s="1"/>
  <c r="L98" i="8" s="1"/>
  <c r="J189" i="4"/>
  <c r="K189" i="4" s="1"/>
  <c r="L188" i="4"/>
  <c r="M188" i="4" s="1"/>
  <c r="N188" i="4" s="1"/>
  <c r="L130" i="4"/>
  <c r="M130" i="4" s="1"/>
  <c r="N130" i="4" s="1"/>
  <c r="Y30" i="9"/>
  <c r="M132" i="4"/>
  <c r="N132" i="4" s="1"/>
  <c r="K104" i="4"/>
  <c r="L104" i="4" s="1"/>
  <c r="M104" i="4" s="1"/>
  <c r="N104" i="4" s="1"/>
  <c r="S19" i="9"/>
  <c r="R19" i="9"/>
  <c r="Q19" i="9"/>
  <c r="T17" i="9"/>
  <c r="U17" i="9" s="1"/>
  <c r="S17" i="9"/>
  <c r="C2" i="7"/>
  <c r="D2" i="7" s="1"/>
  <c r="E2" i="7" s="1"/>
  <c r="C3" i="7"/>
  <c r="D3" i="7" s="1"/>
  <c r="E3" i="7" s="1"/>
  <c r="F3" i="7" s="1"/>
  <c r="C177" i="8"/>
  <c r="D177" i="8" s="1"/>
  <c r="E177" i="8" s="1"/>
  <c r="C176" i="8"/>
  <c r="D176" i="8" s="1"/>
  <c r="E176" i="8" s="1"/>
  <c r="D14" i="8"/>
  <c r="E14" i="8" s="1"/>
  <c r="F15" i="8"/>
  <c r="G15" i="8" s="1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AE15" i="8" s="1"/>
  <c r="AF15" i="8" s="1"/>
  <c r="AG15" i="8" s="1"/>
  <c r="AH15" i="8" s="1"/>
  <c r="AI15" i="8" s="1"/>
  <c r="AJ15" i="8" s="1"/>
  <c r="AK15" i="8" s="1"/>
  <c r="D148" i="8"/>
  <c r="E148" i="8" s="1"/>
  <c r="D1" i="7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D1" i="8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Q7" i="9"/>
  <c r="M6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AA28" i="9" l="1"/>
  <c r="V17" i="9"/>
  <c r="F2" i="7"/>
  <c r="G2" i="7" s="1"/>
  <c r="H2" i="7" s="1"/>
  <c r="I2" i="7" s="1"/>
  <c r="J2" i="7" s="1"/>
  <c r="G3" i="7"/>
  <c r="H3" i="7" s="1"/>
  <c r="M98" i="8"/>
  <c r="N98" i="8" s="1"/>
  <c r="O98" i="8" s="1"/>
  <c r="P98" i="8" s="1"/>
  <c r="Q98" i="8" s="1"/>
  <c r="R98" i="8" s="1"/>
  <c r="S98" i="8" s="1"/>
  <c r="T98" i="8" s="1"/>
  <c r="U98" i="8" s="1"/>
  <c r="V98" i="8" s="1"/>
  <c r="F148" i="8"/>
  <c r="G148" i="8" s="1"/>
  <c r="H148" i="8" s="1"/>
  <c r="I148" i="8" s="1"/>
  <c r="F177" i="8"/>
  <c r="G177" i="8" s="1"/>
  <c r="H177" i="8" s="1"/>
  <c r="I177" i="8" s="1"/>
  <c r="F176" i="8"/>
  <c r="G176" i="8" s="1"/>
  <c r="H176" i="8" s="1"/>
  <c r="I176" i="8" s="1"/>
  <c r="J176" i="8" s="1"/>
  <c r="K176" i="8" s="1"/>
  <c r="L176" i="8" s="1"/>
  <c r="P147" i="8"/>
  <c r="F14" i="8"/>
  <c r="G14" i="8" s="1"/>
  <c r="H14" i="8" s="1"/>
  <c r="I14" i="8" s="1"/>
  <c r="J14" i="8" s="1"/>
  <c r="L189" i="4"/>
  <c r="M189" i="4" s="1"/>
  <c r="N189" i="4" s="1"/>
  <c r="Z30" i="9"/>
  <c r="R7" i="9"/>
  <c r="R10" i="9" s="1"/>
  <c r="U19" i="9"/>
  <c r="T19" i="9"/>
  <c r="AA8" i="9" l="1"/>
  <c r="U8" i="9"/>
  <c r="R8" i="9"/>
  <c r="Q8" i="9"/>
  <c r="S8" i="9"/>
  <c r="AC8" i="9"/>
  <c r="T8" i="9"/>
  <c r="AB8" i="9"/>
  <c r="Y8" i="9"/>
  <c r="X8" i="9"/>
  <c r="Z8" i="9"/>
  <c r="W8" i="9"/>
  <c r="V8" i="9"/>
  <c r="Q147" i="8"/>
  <c r="R147" i="8" s="1"/>
  <c r="S147" i="8" s="1"/>
  <c r="T147" i="8" s="1"/>
  <c r="U147" i="8" s="1"/>
  <c r="V147" i="8" s="1"/>
  <c r="W147" i="8" s="1"/>
  <c r="X147" i="8" s="1"/>
  <c r="AB28" i="9"/>
  <c r="W17" i="9"/>
  <c r="I3" i="7"/>
  <c r="J3" i="7" s="1"/>
  <c r="K2" i="7"/>
  <c r="L2" i="7" s="1"/>
  <c r="M2" i="7" s="1"/>
  <c r="N2" i="7" s="1"/>
  <c r="O2" i="7" s="1"/>
  <c r="P2" i="7" s="1"/>
  <c r="Q2" i="7" s="1"/>
  <c r="R2" i="7" s="1"/>
  <c r="S2" i="7" s="1"/>
  <c r="T2" i="7" s="1"/>
  <c r="J177" i="8"/>
  <c r="K177" i="8" s="1"/>
  <c r="L177" i="8" s="1"/>
  <c r="W98" i="8"/>
  <c r="X98" i="8" s="1"/>
  <c r="Y98" i="8" s="1"/>
  <c r="Z98" i="8" s="1"/>
  <c r="AA98" i="8" s="1"/>
  <c r="AB98" i="8" s="1"/>
  <c r="AC98" i="8" s="1"/>
  <c r="AD98" i="8" s="1"/>
  <c r="AE98" i="8" s="1"/>
  <c r="K14" i="8"/>
  <c r="L14" i="8" s="1"/>
  <c r="M14" i="8" s="1"/>
  <c r="N14" i="8" s="1"/>
  <c r="J148" i="8"/>
  <c r="K148" i="8" s="1"/>
  <c r="L148" i="8" s="1"/>
  <c r="M148" i="8" s="1"/>
  <c r="N148" i="8" s="1"/>
  <c r="O148" i="8" s="1"/>
  <c r="P148" i="8" s="1"/>
  <c r="Q148" i="8" s="1"/>
  <c r="R148" i="8" s="1"/>
  <c r="S148" i="8" s="1"/>
  <c r="T148" i="8" s="1"/>
  <c r="U148" i="8" s="1"/>
  <c r="V148" i="8" s="1"/>
  <c r="W148" i="8" s="1"/>
  <c r="X148" i="8" s="1"/>
  <c r="Y148" i="8" s="1"/>
  <c r="Z148" i="8" s="1"/>
  <c r="M176" i="8"/>
  <c r="N176" i="8" s="1"/>
  <c r="O176" i="8" s="1"/>
  <c r="P176" i="8" s="1"/>
  <c r="Q176" i="8" s="1"/>
  <c r="R176" i="8" s="1"/>
  <c r="AA30" i="9"/>
  <c r="V19" i="9"/>
  <c r="R11" i="9" l="1"/>
  <c r="Y147" i="8"/>
  <c r="Z147" i="8" s="1"/>
  <c r="AA147" i="8" s="1"/>
  <c r="AB147" i="8" s="1"/>
  <c r="AC147" i="8" s="1"/>
  <c r="AD147" i="8" s="1"/>
  <c r="AE147" i="8" s="1"/>
  <c r="AF147" i="8" s="1"/>
  <c r="AG147" i="8" s="1"/>
  <c r="AH147" i="8" s="1"/>
  <c r="AI147" i="8" s="1"/>
  <c r="AJ147" i="8" s="1"/>
  <c r="AK147" i="8" s="1"/>
  <c r="AC28" i="9"/>
  <c r="X17" i="9"/>
  <c r="U2" i="7"/>
  <c r="V2" i="7" s="1"/>
  <c r="W2" i="7" s="1"/>
  <c r="X2" i="7" s="1"/>
  <c r="K3" i="7"/>
  <c r="L3" i="7" s="1"/>
  <c r="M3" i="7" s="1"/>
  <c r="N3" i="7" s="1"/>
  <c r="O3" i="7" s="1"/>
  <c r="P3" i="7" s="1"/>
  <c r="Q3" i="7" s="1"/>
  <c r="R3" i="7" s="1"/>
  <c r="S3" i="7" s="1"/>
  <c r="T3" i="7" s="1"/>
  <c r="AF98" i="8"/>
  <c r="AG98" i="8" s="1"/>
  <c r="AH98" i="8" s="1"/>
  <c r="AI98" i="8" s="1"/>
  <c r="AJ98" i="8" s="1"/>
  <c r="AK98" i="8" s="1"/>
  <c r="S176" i="8"/>
  <c r="T176" i="8" s="1"/>
  <c r="U176" i="8" s="1"/>
  <c r="V176" i="8" s="1"/>
  <c r="W176" i="8" s="1"/>
  <c r="X176" i="8" s="1"/>
  <c r="Y176" i="8" s="1"/>
  <c r="Z176" i="8" s="1"/>
  <c r="AA176" i="8" s="1"/>
  <c r="AB176" i="8" s="1"/>
  <c r="AC176" i="8" s="1"/>
  <c r="AD176" i="8" s="1"/>
  <c r="AE176" i="8" s="1"/>
  <c r="AF176" i="8" s="1"/>
  <c r="AG176" i="8" s="1"/>
  <c r="AH176" i="8" s="1"/>
  <c r="AI176" i="8" s="1"/>
  <c r="AJ176" i="8" s="1"/>
  <c r="AK176" i="8" s="1"/>
  <c r="O14" i="8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AH14" i="8" s="1"/>
  <c r="AI14" i="8" s="1"/>
  <c r="AJ14" i="8" s="1"/>
  <c r="AK14" i="8" s="1"/>
  <c r="AA148" i="8"/>
  <c r="AB148" i="8" s="1"/>
  <c r="AC148" i="8" s="1"/>
  <c r="AD148" i="8" s="1"/>
  <c r="AE148" i="8" s="1"/>
  <c r="AF148" i="8" s="1"/>
  <c r="AG148" i="8" s="1"/>
  <c r="AH148" i="8" s="1"/>
  <c r="AI148" i="8" s="1"/>
  <c r="AJ148" i="8" s="1"/>
  <c r="AK148" i="8" s="1"/>
  <c r="M177" i="8"/>
  <c r="N177" i="8" s="1"/>
  <c r="O177" i="8" s="1"/>
  <c r="P177" i="8" s="1"/>
  <c r="Q177" i="8" s="1"/>
  <c r="R177" i="8" s="1"/>
  <c r="AB30" i="9"/>
  <c r="W19" i="9"/>
  <c r="AD28" i="9" l="1"/>
  <c r="Y17" i="9"/>
  <c r="U3" i="7"/>
  <c r="V3" i="7" s="1"/>
  <c r="W3" i="7" s="1"/>
  <c r="X3" i="7" s="1"/>
  <c r="Y2" i="7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S177" i="8"/>
  <c r="T177" i="8" s="1"/>
  <c r="U177" i="8" s="1"/>
  <c r="V177" i="8" s="1"/>
  <c r="W177" i="8" s="1"/>
  <c r="X177" i="8" s="1"/>
  <c r="Y177" i="8" s="1"/>
  <c r="Z177" i="8" s="1"/>
  <c r="AA177" i="8" s="1"/>
  <c r="AB177" i="8" s="1"/>
  <c r="AC177" i="8" s="1"/>
  <c r="AD177" i="8" s="1"/>
  <c r="AE177" i="8" s="1"/>
  <c r="AF177" i="8" s="1"/>
  <c r="AG177" i="8" s="1"/>
  <c r="AH177" i="8" s="1"/>
  <c r="AI177" i="8" s="1"/>
  <c r="AJ177" i="8" s="1"/>
  <c r="AK177" i="8" s="1"/>
  <c r="AC30" i="9"/>
  <c r="X19" i="9"/>
  <c r="Z17" i="9" l="1"/>
  <c r="AE28" i="9"/>
  <c r="Y3" i="7"/>
  <c r="Z3" i="7" s="1"/>
  <c r="AA3" i="7" s="1"/>
  <c r="AB3" i="7" s="1"/>
  <c r="AC3" i="7" s="1"/>
  <c r="AD3" i="7" s="1"/>
  <c r="AE3" i="7" s="1"/>
  <c r="AF3" i="7" s="1"/>
  <c r="AG3" i="7" s="1"/>
  <c r="AH3" i="7" s="1"/>
  <c r="AI3" i="7" s="1"/>
  <c r="AJ3" i="7" s="1"/>
  <c r="AD30" i="9"/>
  <c r="Y19" i="9"/>
  <c r="AA17" i="9" l="1"/>
  <c r="AF28" i="9"/>
  <c r="AE30" i="9"/>
  <c r="Z19" i="9"/>
  <c r="AG28" i="9" l="1"/>
  <c r="AB17" i="9"/>
  <c r="AF30" i="9"/>
  <c r="AA19" i="9"/>
  <c r="AC17" i="9" l="1"/>
  <c r="AH28" i="9"/>
  <c r="AG30" i="9"/>
  <c r="AB19" i="9"/>
  <c r="AI28" i="9" l="1"/>
  <c r="AD17" i="9"/>
  <c r="AH30" i="9"/>
  <c r="AC19" i="9"/>
  <c r="AJ28" i="9" l="1"/>
  <c r="AE17" i="9"/>
  <c r="AI30" i="9"/>
  <c r="AD19" i="9"/>
  <c r="AK28" i="9" l="1"/>
  <c r="AF17" i="9"/>
  <c r="AJ30" i="9"/>
  <c r="AE19" i="9"/>
  <c r="AL28" i="9" l="1"/>
  <c r="AG17" i="9"/>
  <c r="AK30" i="9"/>
  <c r="AF19" i="9"/>
  <c r="AH17" i="9" l="1"/>
  <c r="AM28" i="9"/>
  <c r="AL30" i="9"/>
  <c r="AG19" i="9"/>
  <c r="AI17" i="9" l="1"/>
  <c r="AN28" i="9"/>
  <c r="AM30" i="9"/>
  <c r="AH19" i="9"/>
  <c r="AJ17" i="9" l="1"/>
  <c r="AO28" i="9"/>
  <c r="AN30" i="9"/>
  <c r="AI19" i="9"/>
  <c r="AK17" i="9" l="1"/>
  <c r="AP28" i="9"/>
  <c r="AO30" i="9"/>
  <c r="AJ19" i="9"/>
  <c r="AL17" i="9" l="1"/>
  <c r="AQ28" i="9"/>
  <c r="AP30" i="9"/>
  <c r="AK19" i="9"/>
  <c r="AR28" i="9" l="1"/>
  <c r="AM17" i="9"/>
  <c r="AQ30" i="9"/>
  <c r="AL19" i="9"/>
  <c r="AN17" i="9" l="1"/>
  <c r="AS28" i="9"/>
  <c r="AR30" i="9"/>
  <c r="AM19" i="9"/>
  <c r="AO17" i="9" l="1"/>
  <c r="AT28" i="9"/>
  <c r="AS30" i="9"/>
  <c r="AN19" i="9"/>
  <c r="AU28" i="9" l="1"/>
  <c r="AP17" i="9"/>
  <c r="AT30" i="9"/>
  <c r="AO19" i="9"/>
  <c r="AV28" i="9" l="1"/>
  <c r="AQ17" i="9"/>
  <c r="AU30" i="9"/>
  <c r="AP19" i="9"/>
  <c r="AW28" i="9" l="1"/>
  <c r="AR17" i="9"/>
  <c r="AV30" i="9"/>
  <c r="AQ19" i="9"/>
  <c r="AS17" i="9" l="1"/>
  <c r="AX28" i="9"/>
  <c r="AW30" i="9"/>
  <c r="AR19" i="9"/>
  <c r="AT17" i="9" l="1"/>
  <c r="AY28" i="9"/>
  <c r="AY30" i="9"/>
  <c r="AX30" i="9"/>
  <c r="AS19" i="9"/>
  <c r="R33" i="9" l="1"/>
  <c r="AT19" i="9"/>
  <c r="Q31" i="9" l="1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U19" i="9"/>
  <c r="AV19" i="9" l="1"/>
  <c r="AW19" i="9" l="1"/>
  <c r="AX19" i="9" l="1"/>
  <c r="AY19" i="9" l="1"/>
  <c r="AZ19" i="9"/>
  <c r="R22" i="9" l="1"/>
  <c r="AW20" i="9" l="1"/>
  <c r="Q20" i="9"/>
  <c r="R20" i="9"/>
  <c r="AY20" i="9"/>
  <c r="AU20" i="9"/>
  <c r="AZ20" i="9"/>
  <c r="AV20" i="9"/>
  <c r="AX20" i="9"/>
  <c r="T20" i="9"/>
  <c r="S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R23" i="9" l="1"/>
  <c r="R34" i="9"/>
</calcChain>
</file>

<file path=xl/sharedStrings.xml><?xml version="1.0" encoding="utf-8"?>
<sst xmlns="http://schemas.openxmlformats.org/spreadsheetml/2006/main" count="11198" uniqueCount="564">
  <si>
    <t>dose time (days)</t>
  </si>
  <si>
    <t>fract shed</t>
  </si>
  <si>
    <t>shed duration (days)</t>
  </si>
  <si>
    <t>N subjects</t>
  </si>
  <si>
    <t>shed titer log10(TCID50)</t>
  </si>
  <si>
    <t>Maternal Ab log2(GMT)</t>
  </si>
  <si>
    <t>pre-dose variance</t>
  </si>
  <si>
    <t>post-dose variance</t>
  </si>
  <si>
    <t>titer variance</t>
  </si>
  <si>
    <t>duration variance</t>
  </si>
  <si>
    <t>Author</t>
  </si>
  <si>
    <t>pub date</t>
  </si>
  <si>
    <t>notes</t>
  </si>
  <si>
    <t>study group</t>
  </si>
  <si>
    <t>study location</t>
  </si>
  <si>
    <t>GMT</t>
  </si>
  <si>
    <t>CI-lb</t>
  </si>
  <si>
    <t>CI-ub</t>
  </si>
  <si>
    <t>input reciprocal dilution</t>
  </si>
  <si>
    <t>output log2(values)</t>
  </si>
  <si>
    <t>log2(GMT)</t>
  </si>
  <si>
    <t>var</t>
  </si>
  <si>
    <t>N</t>
  </si>
  <si>
    <t>std dev antibody calculator from 95% confidence interval</t>
  </si>
  <si>
    <t>linear scale variance from confidence intervals</t>
  </si>
  <si>
    <t>Ghendon</t>
  </si>
  <si>
    <t>time of record (days)</t>
  </si>
  <si>
    <t xml:space="preserve">mean = </t>
  </si>
  <si>
    <t xml:space="preserve">var = </t>
  </si>
  <si>
    <t>CDF in log2(titer)</t>
  </si>
  <si>
    <t>estimate only if data not shown</t>
  </si>
  <si>
    <t>incl mat Ab pre-dose log2(GMT)</t>
  </si>
  <si>
    <t>post-dose serum record time (days)</t>
  </si>
  <si>
    <t>incl mat Ab post-dose log2(GMT)</t>
  </si>
  <si>
    <t>IonNedelcu</t>
  </si>
  <si>
    <t>Romania</t>
  </si>
  <si>
    <t>shedding CDF (days) 2</t>
  </si>
  <si>
    <t>N subjects shedding</t>
  </si>
  <si>
    <t>PDF values</t>
  </si>
  <si>
    <t>PDF</t>
  </si>
  <si>
    <t>difference from mean, squared</t>
  </si>
  <si>
    <t>GMT stats antibody from CDF</t>
  </si>
  <si>
    <t>Shedding duration stats from CDF days shedding</t>
  </si>
  <si>
    <t>fract reverted of shedders</t>
  </si>
  <si>
    <t>Maternal Ab record time (days)</t>
  </si>
  <si>
    <t>Moscow Russia</t>
  </si>
  <si>
    <t>IPV-IPV</t>
  </si>
  <si>
    <t>prior dose D-antigen</t>
  </si>
  <si>
    <t>prior IPV homotypic doses</t>
  </si>
  <si>
    <t>seronegative</t>
  </si>
  <si>
    <t>IPV-IPV-IPV&amp;OPV serum</t>
  </si>
  <si>
    <t>IPV-IPV-IPV&amp;OPV stools</t>
  </si>
  <si>
    <t>Galindo</t>
  </si>
  <si>
    <t>Cuba</t>
  </si>
  <si>
    <t>IPV-OPV</t>
  </si>
  <si>
    <t>IPV-IPV-OPV</t>
  </si>
  <si>
    <t>Ogra</t>
  </si>
  <si>
    <t>Buffalo USA</t>
  </si>
  <si>
    <t>Abraham</t>
  </si>
  <si>
    <t>Asturias</t>
  </si>
  <si>
    <t>Guatemala</t>
  </si>
  <si>
    <t>IPV-IPV-IPV-IPV</t>
  </si>
  <si>
    <t>IPV-IPV-OPV-OPV</t>
  </si>
  <si>
    <t>Glezen</t>
  </si>
  <si>
    <t>Missouri USA</t>
  </si>
  <si>
    <t>prior IPV titer 8-16</t>
  </si>
  <si>
    <t>prior IPV titer 32-64</t>
  </si>
  <si>
    <t>prior IPV titer &gt;=128</t>
  </si>
  <si>
    <t>antibody bracket shifted up by 1 dilution</t>
  </si>
  <si>
    <t>Lu</t>
  </si>
  <si>
    <t>Taiwan</t>
  </si>
  <si>
    <t>Modlin</t>
  </si>
  <si>
    <t>Maryland USA</t>
  </si>
  <si>
    <t>IPV high chal</t>
  </si>
  <si>
    <t>IPV low chal</t>
  </si>
  <si>
    <t>Pagano</t>
  </si>
  <si>
    <t>Uppsala Sweden</t>
  </si>
  <si>
    <t>mOPV1 from human diploid cell line</t>
  </si>
  <si>
    <t>group I &amp; II</t>
  </si>
  <si>
    <t>IPV-IPV-IPV-mOPV3</t>
  </si>
  <si>
    <t>Piirainen</t>
  </si>
  <si>
    <t>Finland</t>
  </si>
  <si>
    <t>shedding log10(TCID50) (days) 2</t>
  </si>
  <si>
    <t>WHO</t>
  </si>
  <si>
    <t>Gambia</t>
  </si>
  <si>
    <t>Thailand</t>
  </si>
  <si>
    <t>Gambia IPV-IPV-IPV</t>
  </si>
  <si>
    <t>Thailand IPV-IPV-IPV</t>
  </si>
  <si>
    <t>IPV group C</t>
  </si>
  <si>
    <t>control group D</t>
  </si>
  <si>
    <t>Dick</t>
  </si>
  <si>
    <t>Belfast Ireland</t>
  </si>
  <si>
    <t>mixed vaccine interval; excretion 10^3 N=3 10^5 N=2</t>
  </si>
  <si>
    <t>excretion 10^3 N=3 10^5 N=7</t>
  </si>
  <si>
    <t>IPV group A</t>
  </si>
  <si>
    <t>control group B</t>
  </si>
  <si>
    <t>fract seroconv on chal(4x)</t>
  </si>
  <si>
    <t>OPV1-OPV3-OPV2</t>
  </si>
  <si>
    <t>Goffe</t>
  </si>
  <si>
    <t>United Kingdom</t>
  </si>
  <si>
    <t>A IPV-IPV</t>
  </si>
  <si>
    <t>B IPV-IPV</t>
  </si>
  <si>
    <t>C IPV-IPV</t>
  </si>
  <si>
    <t>Swartz</t>
  </si>
  <si>
    <t>Israel</t>
  </si>
  <si>
    <t>prior LPV homotypic doses</t>
  </si>
  <si>
    <t>prior dose log10(TCID50)</t>
  </si>
  <si>
    <t>pre-dose seroprev incl mat Ab (1:8)</t>
  </si>
  <si>
    <t>post-dose seroprev (1:8)</t>
  </si>
  <si>
    <t>A OPV-OPV-OPV</t>
  </si>
  <si>
    <t>B IPV-IPV-IPV</t>
  </si>
  <si>
    <t>C IPV-OPV-OPV</t>
  </si>
  <si>
    <t>D IPV-IPV-OPV</t>
  </si>
  <si>
    <t>Faden</t>
  </si>
  <si>
    <t>A) IPV-IPV-OPV-OPV</t>
  </si>
  <si>
    <t>B) IPV-IPV-OPV-OPV-OPV</t>
  </si>
  <si>
    <t>D) IPV-IPV-IPV-OPV</t>
  </si>
  <si>
    <t>C) IPV-IPV&amp;OPV-OPV-OPV-OPV</t>
  </si>
  <si>
    <t>Sutter</t>
  </si>
  <si>
    <t>Oman</t>
  </si>
  <si>
    <t>pre-OPV IPV</t>
  </si>
  <si>
    <t>table 4 group size inferred from least common denominator of shedding %</t>
  </si>
  <si>
    <t>Thailand OPV-IPVOPV-IPVOPV-IPVOPV</t>
  </si>
  <si>
    <t>Gambia OPV-IPVOPV-IPVOPV-IPVOPV</t>
  </si>
  <si>
    <t>Oman OPV-IPVOPV-IPVOPV-IPVOPV</t>
  </si>
  <si>
    <t>adults with mixed IPV and WPV exposure</t>
  </si>
  <si>
    <t>Shedding titer from CDF</t>
  </si>
  <si>
    <t>OPV only</t>
  </si>
  <si>
    <t>total group</t>
  </si>
  <si>
    <t>1 seronegative</t>
  </si>
  <si>
    <t>shed titer variance estimated with CI twice the maximum upper deflection 5.15 to 6.25</t>
  </si>
  <si>
    <t>2A seropositive</t>
  </si>
  <si>
    <t>see ref Melnick1956 for antibody titer methods</t>
  </si>
  <si>
    <t>2B paralytic recovered</t>
  </si>
  <si>
    <t>assuming type 1 paralysis Ab 4x higher than other types</t>
  </si>
  <si>
    <t>2C prior WPV1 inf</t>
  </si>
  <si>
    <t>prior shedding 3-4 wks at 10^6 TCID50</t>
  </si>
  <si>
    <t>3B mOPV 1e5 Sabin sched</t>
  </si>
  <si>
    <t>test 4x tOPV</t>
  </si>
  <si>
    <t>Dong</t>
  </si>
  <si>
    <t>shedding dur from dist; see table 6 for seroconversion rate as function of maternal Ab titer</t>
  </si>
  <si>
    <t>no endpoint reported</t>
  </si>
  <si>
    <t>control 3x tOPV</t>
  </si>
  <si>
    <t>OPV-OPV serum</t>
  </si>
  <si>
    <t>OPV-OPV excretion</t>
  </si>
  <si>
    <t>1x OPV</t>
  </si>
  <si>
    <t>2x OPV</t>
  </si>
  <si>
    <t>1xIPV 1x OPV</t>
  </si>
  <si>
    <t>2x IPV 1x OPV</t>
  </si>
  <si>
    <t>OPV-OPV-OPV</t>
  </si>
  <si>
    <t>Nishio</t>
  </si>
  <si>
    <t>Japan</t>
  </si>
  <si>
    <t>mOPV1-mOPV1</t>
  </si>
  <si>
    <t>ElSayed</t>
  </si>
  <si>
    <t>Egypt</t>
  </si>
  <si>
    <t>reversion from vanderSanden2009</t>
  </si>
  <si>
    <t>tOPV-mOPV1</t>
  </si>
  <si>
    <t>preOPV-tOPVUS</t>
  </si>
  <si>
    <t>most results are presented in mixed groups.</t>
  </si>
  <si>
    <t>preOPV-tOPVEurope</t>
  </si>
  <si>
    <t>Vero-OPV</t>
  </si>
  <si>
    <t>Mallet</t>
  </si>
  <si>
    <t>France</t>
  </si>
  <si>
    <t>no record on seroconversion after 1st dose</t>
  </si>
  <si>
    <t>Onorato</t>
  </si>
  <si>
    <t>all children pre-vaccinated with 3 tOPV with dose 8:1:6</t>
  </si>
  <si>
    <t>Henry</t>
  </si>
  <si>
    <t>B - DTP only - 5.7</t>
  </si>
  <si>
    <t>B - DTP only - 4.7</t>
  </si>
  <si>
    <t>B - DTP only - 3.7</t>
  </si>
  <si>
    <t>B - DTP only - 2.7</t>
  </si>
  <si>
    <t>B - DTP only - 1.7</t>
  </si>
  <si>
    <t>E - 3OPV</t>
  </si>
  <si>
    <t>challenge dose</t>
  </si>
  <si>
    <t>sample size not reported</t>
  </si>
  <si>
    <t>Samoilovich</t>
  </si>
  <si>
    <t>dose time is in median</t>
  </si>
  <si>
    <t>SN 1</t>
  </si>
  <si>
    <t>Abbink</t>
  </si>
  <si>
    <t>Netherlands</t>
  </si>
  <si>
    <t>NI 1</t>
  </si>
  <si>
    <t>shedding dur linear interp; see table 6 for seroconversion rate as function of maternal Ab titer</t>
  </si>
  <si>
    <t>shedding dur linear interp</t>
  </si>
  <si>
    <t>10.5 is the maximum detectable titer</t>
  </si>
  <si>
    <t>post-dose frac seroconv is smaller than pre-dose frac seroconv; 10.5 is the maximum detectable titer</t>
  </si>
  <si>
    <t>preOPV-OPV3</t>
  </si>
  <si>
    <t>post-dose frac seropos% is smaller than pre-dose frac seropos%; 10.5 is the maximum detectable titer</t>
  </si>
  <si>
    <t>CI not complete (Figure 1)</t>
  </si>
  <si>
    <t>SN 3</t>
  </si>
  <si>
    <t>NI 3</t>
  </si>
  <si>
    <t>natual immuned to type 3</t>
  </si>
  <si>
    <t>maternal decay</t>
  </si>
  <si>
    <t>assume max = 7.0</t>
  </si>
  <si>
    <t>assume shedding stops at 90</t>
  </si>
  <si>
    <t>N subjects tested for shedding</t>
  </si>
  <si>
    <t>assume childhood WPV infection fully waned antibodies; seronegative to type 3; dose date calculated using research year (1999) and median year (1935)</t>
  </si>
  <si>
    <t>results in IU (Albrecht1984). 1IU=(99.14;74.34;137.5)</t>
  </si>
  <si>
    <t>assume childhood WPV infection with fully waned antibodies;seronegative to type 1; dose date calculated using research year (1999) and median year (1935)</t>
  </si>
  <si>
    <t>childhood WPV infection; natual immuned to type 1</t>
  </si>
  <si>
    <t>assume childhood WPV</t>
  </si>
  <si>
    <t>IPV immune 1</t>
  </si>
  <si>
    <t>IPV immune 3</t>
  </si>
  <si>
    <t>Oman OPV-OPV-OPV-OPV</t>
  </si>
  <si>
    <t>Thailand OPV-OPV-OPV-OPV</t>
  </si>
  <si>
    <t>Gambia OPV-OPV-OPV-OPV</t>
  </si>
  <si>
    <t>Maternal Ab variance</t>
  </si>
  <si>
    <t>prior IPV titer &lt;8</t>
  </si>
  <si>
    <t>Minsk Belarus</t>
  </si>
  <si>
    <t>London United Kingdom</t>
  </si>
  <si>
    <t>OPV low chal</t>
  </si>
  <si>
    <t>OPV high chal</t>
  </si>
  <si>
    <t>Henan China</t>
  </si>
  <si>
    <t>A triple negative mOPV1-mOPV3-mOPV2</t>
  </si>
  <si>
    <t>A homologous negative mOPV1-mOPV3-mOPV2</t>
  </si>
  <si>
    <t>B triple negative mOPV1-bOPV23</t>
  </si>
  <si>
    <t>B homologous negative mOPV1-bOPV23</t>
  </si>
  <si>
    <t>C triple negative tOPV-tOPV</t>
  </si>
  <si>
    <t>C homologous negative tOPV-tOPV</t>
  </si>
  <si>
    <t>Horstmann</t>
  </si>
  <si>
    <t>New Haven Conn USA</t>
  </si>
  <si>
    <t>age calculated as average; pre-IPV used as median dose</t>
  </si>
  <si>
    <t>second tOPV dose</t>
  </si>
  <si>
    <t>A total mOPV1-mOPV3-mOPV2</t>
  </si>
  <si>
    <t>B total mOPV1-bOPV23</t>
  </si>
  <si>
    <t>age calculated as 7 yrs grade 1-3; 96% have 3 or more and 79% have 4 or more IPV doses</t>
  </si>
  <si>
    <t>OPV-OPV total</t>
  </si>
  <si>
    <t>Barr</t>
  </si>
  <si>
    <t>Minnesota USA</t>
  </si>
  <si>
    <t>A mOPV2-mOPV3-mOPV1 Adult</t>
  </si>
  <si>
    <t>A mOPV2-mOPV3-mOPV1 Child</t>
  </si>
  <si>
    <t>seroprev and seroconv% is calculated from the pre-post AB matrix</t>
  </si>
  <si>
    <t>Waynesville Missouri USA</t>
  </si>
  <si>
    <t>age calculated as 7 yrs grade 1-3 IPV median dose</t>
  </si>
  <si>
    <t>OPV1 total</t>
  </si>
  <si>
    <t>aggregrated group; age calculated as 7 yrs grade 1-3; 96% have 3 or more and 79% have 4 or more IPV doses and wild-type virus circulation unknown</t>
  </si>
  <si>
    <t>Verlinde</t>
  </si>
  <si>
    <t>mOPV1-mOPV3-mOPV2 &lt; 14 yrs old negative</t>
  </si>
  <si>
    <t>mOPV1-mOPV3-mOPV2 &lt; 14 yrs old positive</t>
  </si>
  <si>
    <t>mOPV1-mOPV3-mOPV2 &gt; 14 yrs old negative</t>
  </si>
  <si>
    <t>mOPV1-mOPV3-mOPV2 &gt; 14 yrs old positive</t>
  </si>
  <si>
    <t>nature exposure</t>
  </si>
  <si>
    <t>nature exposure except two children having IPV</t>
  </si>
  <si>
    <t>assume median age is 35 yrs nature exposure</t>
  </si>
  <si>
    <t>mOPV1-mOPV3-mOPV2 negative all</t>
  </si>
  <si>
    <t>mOPV1-mOPV3-mOPV2 positive all</t>
  </si>
  <si>
    <t>assume 20 yrs old</t>
  </si>
  <si>
    <t>Smith</t>
  </si>
  <si>
    <t>UK</t>
  </si>
  <si>
    <t>preIPV-OPV</t>
  </si>
  <si>
    <t>preIPV&amp;OPV-OPV</t>
  </si>
  <si>
    <t>Sabin</t>
  </si>
  <si>
    <t>1y</t>
  </si>
  <si>
    <t>2y</t>
  </si>
  <si>
    <t>3y</t>
  </si>
  <si>
    <t>4y</t>
  </si>
  <si>
    <t>Toluca Mexico</t>
  </si>
  <si>
    <t>5y-10y</t>
  </si>
  <si>
    <t>other total groups are not considered because of interference</t>
  </si>
  <si>
    <t>age calculated as average over all and assume three groups are same; pre-IPV used as median dose</t>
  </si>
  <si>
    <t>Kogon</t>
  </si>
  <si>
    <t>OPV total</t>
  </si>
  <si>
    <t>GS - 3-23 mo</t>
  </si>
  <si>
    <t>Domok</t>
  </si>
  <si>
    <t>Hungary</t>
  </si>
  <si>
    <t>GS - 6-9 yr</t>
  </si>
  <si>
    <t>other GS groups are dropped because of high shedding rate before chal nation group are dropped because of no sample size</t>
  </si>
  <si>
    <t>assume 20 yrs old natural exposure</t>
  </si>
  <si>
    <t>prior IPV titer &lt;8 dose 2</t>
  </si>
  <si>
    <t>prior IPV titer 8-16 dose 2</t>
  </si>
  <si>
    <t>prior IPV titer 32-64 dose 2</t>
  </si>
  <si>
    <t>prior IPV titer 128-256 dose 2</t>
  </si>
  <si>
    <t>prior IPV titer &gt;=512 dose 2</t>
  </si>
  <si>
    <t>var log2</t>
  </si>
  <si>
    <t>Serotype</t>
  </si>
  <si>
    <t>pre-dose serum record time (days)</t>
  </si>
  <si>
    <t>dose D-antigen if IPV</t>
  </si>
  <si>
    <t>dose titer log10(TCID50) if OPV</t>
  </si>
  <si>
    <t>N subjects serology</t>
  </si>
  <si>
    <t>shed titer CDF log10: 0.2</t>
  </si>
  <si>
    <t>NAb CDF log2: 0</t>
  </si>
  <si>
    <t>OPV1 prior 16 &lt;= titer &lt;= 64</t>
  </si>
  <si>
    <t>OPV1 prior titer &lt;= 8</t>
  </si>
  <si>
    <t>OPV1 prior titer &gt;= 128</t>
  </si>
  <si>
    <t>Excluded shedding results because of overlap with first dose</t>
  </si>
  <si>
    <t>1 IU = {59.3, 32.8, 106}  GMT</t>
  </si>
  <si>
    <t>D - tOPV  - 1.7</t>
  </si>
  <si>
    <t>D - tOPV  - 2.7</t>
  </si>
  <si>
    <t>D - tOPV  - 3.7</t>
  </si>
  <si>
    <t>D - tOPV  - 4.7</t>
  </si>
  <si>
    <t>D - tOPV  - 5.7</t>
  </si>
  <si>
    <t>A - IPV DTP - 1.7</t>
  </si>
  <si>
    <t>A - IPV DTP - 2.7</t>
  </si>
  <si>
    <t>A - IPV DTP - 3.7</t>
  </si>
  <si>
    <t>A - IPV DTP - 4.7</t>
  </si>
  <si>
    <t>A - IPV DTP - 5.7</t>
  </si>
  <si>
    <t>C - IPV DTP - 2.7</t>
  </si>
  <si>
    <t>C - IPV DTP - 1.7</t>
  </si>
  <si>
    <t>C - IPV DTP - 3.7</t>
  </si>
  <si>
    <t>C - IPV DTP - 4.7</t>
  </si>
  <si>
    <t>C - IPV DTP - 5.7</t>
  </si>
  <si>
    <t>assume shedding at least 1 week after last observation</t>
  </si>
  <si>
    <t>A IPV-IPV-IPV</t>
  </si>
  <si>
    <t>B DPT-DPT-DPT</t>
  </si>
  <si>
    <t>using Fig 5 for shed rate</t>
  </si>
  <si>
    <t>excretion and serum are from separate study groups</t>
  </si>
  <si>
    <t>constructed distribution from Fig2, 58 shedders GMT=9.4log2, group GMT=9.8, assume rectangular distrib 35 nonshedders GMT=10.5, set degrees of freedom=36samples + 1groupmean</t>
  </si>
  <si>
    <t>constructed distribution from Fig2, 20 shedder GMT=5.6log2, group GMT=7.0, assume rectangular distrib nonshedders GMT=7.5, set degrees of freedom=19samples + 1groupmean</t>
  </si>
  <si>
    <t>Wood1992 - 1 IU={59.3, 32.8, 106}  GMT</t>
  </si>
  <si>
    <t>A&amp;B with serology NAb 6</t>
  </si>
  <si>
    <t>A&amp;B with serology NAb 10</t>
  </si>
  <si>
    <t>A&amp;B with serology NAb 13</t>
  </si>
  <si>
    <t>study group size 82 - (82/157)*sizeof(A&amp;B with serology)</t>
  </si>
  <si>
    <t>study group size 75 - (75/157)*sizeof(A&amp;B with serology)</t>
  </si>
  <si>
    <t>OPV total NAb 0</t>
  </si>
  <si>
    <t>OPV total NAb 2</t>
  </si>
  <si>
    <t>OPV total NAb 4</t>
  </si>
  <si>
    <t>OPV total NAb 7</t>
  </si>
  <si>
    <t>OPV total NAb 10</t>
  </si>
  <si>
    <t>OPV total NAb 12</t>
  </si>
  <si>
    <t>OPV total NAb 3</t>
  </si>
  <si>
    <t>OPV total NAb 6</t>
  </si>
  <si>
    <t>OPV total NAb 8</t>
  </si>
  <si>
    <t>dummy entry to signify multivalent dose for corresponding entries</t>
  </si>
  <si>
    <t>group size is minimum number tested</t>
  </si>
  <si>
    <t>longterm NAb waning</t>
  </si>
  <si>
    <t>longterm boosting</t>
  </si>
  <si>
    <t>Fig2 boosting 5 yrs after primary schedule</t>
  </si>
  <si>
    <t>Fig 1. two subjects with natural infections exlcuded</t>
  </si>
  <si>
    <t>Fig 1. five subjects with natural infections exlcuded</t>
  </si>
  <si>
    <t>Tbl 2. separate group of subjects vaccinated withing 5 years before challenge</t>
  </si>
  <si>
    <t>challenge tOPV</t>
  </si>
  <si>
    <t>OPV group 1</t>
  </si>
  <si>
    <t>OPV-OPV group 2</t>
  </si>
  <si>
    <t>OPV-OPV-OPV group 3</t>
  </si>
  <si>
    <t>IPV-IPV-IPV-OPV group 3</t>
  </si>
  <si>
    <t>IPV-IPV-OPV group 2</t>
  </si>
  <si>
    <t>IPV group 1</t>
  </si>
  <si>
    <t>control group without challenge. No serology performed</t>
  </si>
  <si>
    <t>figure 1 markers for homotypic and triple seronegative not distiguishable in document.</t>
  </si>
  <si>
    <t>prior combined IPVOPV doses</t>
  </si>
  <si>
    <t>C IPV-IPVOPV-OPV high status</t>
  </si>
  <si>
    <t>B IPV-IPVOPV-OPV low status</t>
  </si>
  <si>
    <t>A IPV-IPVOPV-OPV-IPVOPV low status</t>
  </si>
  <si>
    <t>Krishnan</t>
  </si>
  <si>
    <t>Vellore India</t>
  </si>
  <si>
    <t>absent maternal antibody</t>
  </si>
  <si>
    <t>present maternal antibody</t>
  </si>
  <si>
    <t>risk factors</t>
  </si>
  <si>
    <t>Myaux</t>
  </si>
  <si>
    <t>Dhaka Bangladesh</t>
  </si>
  <si>
    <t>diarrheal group</t>
  </si>
  <si>
    <t>nondiarrheal group</t>
  </si>
  <si>
    <t>diarrhea</t>
  </si>
  <si>
    <t>maternalantibody</t>
  </si>
  <si>
    <t>Maldonado</t>
  </si>
  <si>
    <t>Chiapas Mexico</t>
  </si>
  <si>
    <t>mass vaccination group</t>
  </si>
  <si>
    <t>routine group</t>
  </si>
  <si>
    <t>total subjects</t>
  </si>
  <si>
    <t>enterovirus</t>
  </si>
  <si>
    <t>enterovirus group</t>
  </si>
  <si>
    <t>non enterovirus group</t>
  </si>
  <si>
    <t>Brazil</t>
  </si>
  <si>
    <t>maternal Ab  &lt;64 OPV20:1:6</t>
  </si>
  <si>
    <t>maternal Ab  64-128 OPV20:1:6</t>
  </si>
  <si>
    <t>maternal Ab  &gt;=256 OPV20:1:6</t>
  </si>
  <si>
    <t>maternal Ab  &lt;64 OPV10:05:6</t>
  </si>
  <si>
    <t>maternal Ab  64-128 OPV10:05:6</t>
  </si>
  <si>
    <t>maternal Ab  &gt;=256 OPV10:05:6</t>
  </si>
  <si>
    <t>maternal Ab  &lt;64 OPV10:1:6</t>
  </si>
  <si>
    <t>maternal Ab  64-128 OPV10:1:6</t>
  </si>
  <si>
    <t>maternal Ab  &gt;=256 OPV10:1:6</t>
  </si>
  <si>
    <t>maternal Ab  &lt;64 OPV10:1:3</t>
  </si>
  <si>
    <t>maternal Ab  64-128 OPV10:1:3</t>
  </si>
  <si>
    <t>maternal Ab  &gt;=256 OPV10:1:3</t>
  </si>
  <si>
    <t>seroconversion rates using the group average</t>
  </si>
  <si>
    <t>group OPV20:1:6</t>
  </si>
  <si>
    <t>group OPV10:05:6</t>
  </si>
  <si>
    <t>group OPV10:1:6</t>
  </si>
  <si>
    <t>group OPV10:1:3</t>
  </si>
  <si>
    <t>winter group A educated</t>
  </si>
  <si>
    <t>winter group B uneducated</t>
  </si>
  <si>
    <t>summer group A educated</t>
  </si>
  <si>
    <t>summer group B uneducated</t>
  </si>
  <si>
    <t>trivalent doses, only serology for type 1</t>
  </si>
  <si>
    <t>Choudhury</t>
  </si>
  <si>
    <t>Delhi India</t>
  </si>
  <si>
    <t>tripple seronegatives</t>
  </si>
  <si>
    <t>subtracted individuals that were seropositive or poliovirus shedders before the first dose</t>
  </si>
  <si>
    <t>route of administration</t>
  </si>
  <si>
    <t>vaccine formulation</t>
  </si>
  <si>
    <t>B full dose intramuscular</t>
  </si>
  <si>
    <t>A fractional dose intradermal</t>
  </si>
  <si>
    <t>Resik</t>
  </si>
  <si>
    <t>intradermal</t>
  </si>
  <si>
    <t>intramuscular</t>
  </si>
  <si>
    <t>Moriniere</t>
  </si>
  <si>
    <t>Abidjan Cote dIvoire</t>
  </si>
  <si>
    <t>6 month olds boost OPV</t>
  </si>
  <si>
    <t>6 month olds boost IPV</t>
  </si>
  <si>
    <t>9 month olds boost OPV</t>
  </si>
  <si>
    <t>9 month olds boost IPV</t>
  </si>
  <si>
    <t>wild</t>
  </si>
  <si>
    <t>polio cases</t>
  </si>
  <si>
    <t>New Haven USA</t>
  </si>
  <si>
    <t>sample time after disease (days)</t>
  </si>
  <si>
    <t>shed titer (log10TCID50)</t>
  </si>
  <si>
    <t>N positive</t>
  </si>
  <si>
    <t>Davis</t>
  </si>
  <si>
    <t>Chicago USA</t>
  </si>
  <si>
    <t>unvaccinated familial contancts of cases</t>
  </si>
  <si>
    <t>Gelfand</t>
  </si>
  <si>
    <t>Louisiana USA</t>
  </si>
  <si>
    <t>infected index children</t>
  </si>
  <si>
    <t>Hatch</t>
  </si>
  <si>
    <t>patients negative stools</t>
  </si>
  <si>
    <t>England</t>
  </si>
  <si>
    <t>age of subjects not given, substituting 1 yr</t>
  </si>
  <si>
    <t>healthy contacts negative stools</t>
  </si>
  <si>
    <t>shedding route</t>
  </si>
  <si>
    <t>oral</t>
  </si>
  <si>
    <t>Marine</t>
  </si>
  <si>
    <t>Rhode Island USA</t>
  </si>
  <si>
    <t>index and contact family children titer &lt; 8</t>
  </si>
  <si>
    <t>index and contact family children titer 8-64</t>
  </si>
  <si>
    <t>index and contact family children titer 128+</t>
  </si>
  <si>
    <t>throat washings obtained at days 1,3,5,7,10,14</t>
  </si>
  <si>
    <t>fecal</t>
  </si>
  <si>
    <t>index and contact family children titer &lt; 8, fecal</t>
  </si>
  <si>
    <t>index and contact family children titer 8-64, fecal</t>
  </si>
  <si>
    <t>index and contact family children titer 128-256, fecal</t>
  </si>
  <si>
    <t>index and contact family children titer 512+, fecal</t>
  </si>
  <si>
    <t>Use N = study group size when 95%CI is the uncertainty of the mean</t>
  </si>
  <si>
    <t>Use N = 1 when 95%CI is for range of observations</t>
  </si>
  <si>
    <t>shed fraction based on maximum detected; reversion rate based on cloned isolates determined after RT/PCR and sequencing</t>
  </si>
  <si>
    <t>median titers calculated from seropositive subects only</t>
  </si>
  <si>
    <t>contact spread of OPV</t>
  </si>
  <si>
    <t>OPV recipients fecal</t>
  </si>
  <si>
    <t>OPV recipients oral</t>
  </si>
  <si>
    <t>average sampling interval 27 days, so added 13 days to midpoint of duration</t>
  </si>
  <si>
    <t>Louisiana III. Serologic response to Salk vaccine</t>
  </si>
  <si>
    <t>Interfamilial and Intrafamilial spread of OPV</t>
  </si>
  <si>
    <t>Louisiana II. Infection observed in households</t>
  </si>
  <si>
    <t>tripple negative</t>
  </si>
  <si>
    <t>heterologous immunity to type 1</t>
  </si>
  <si>
    <t>heterologous immunity to type 2</t>
  </si>
  <si>
    <t>heterologous immunity to type 3</t>
  </si>
  <si>
    <t>heterologous immunity to type 2, 3</t>
  </si>
  <si>
    <t>heterologous immunity to type 1, 3</t>
  </si>
  <si>
    <t>heterologous immunity to type 1, 2</t>
  </si>
  <si>
    <t>Louisiana V. maternal antibody</t>
  </si>
  <si>
    <t>maternal serum and cord blood pairs</t>
  </si>
  <si>
    <t>maternal 1280</t>
  </si>
  <si>
    <t>maternal 640</t>
  </si>
  <si>
    <t>maternal 320</t>
  </si>
  <si>
    <t>maternal 160</t>
  </si>
  <si>
    <t>maternal 80</t>
  </si>
  <si>
    <t>maternal 40</t>
  </si>
  <si>
    <t>subclinical cases</t>
  </si>
  <si>
    <t>Schabel</t>
  </si>
  <si>
    <t>Alabama USA</t>
  </si>
  <si>
    <t>serotype not given, using type 1 as default</t>
  </si>
  <si>
    <t>unspecified serotype, assuming serotype 1 by default</t>
  </si>
  <si>
    <t>Svedmyr</t>
  </si>
  <si>
    <t>Stickholm Sweeden</t>
  </si>
  <si>
    <t>paralytic cases age 0 to 15 yrs</t>
  </si>
  <si>
    <t>paralytic cases age &gt;= 16 yrs</t>
  </si>
  <si>
    <t>aseptic menigitis age 0 to 15 yrs</t>
  </si>
  <si>
    <t>aseptic menigitis age &gt;= 16 yrs</t>
  </si>
  <si>
    <t>Miller</t>
  </si>
  <si>
    <t>cases and symptomatic contacts</t>
  </si>
  <si>
    <t>Kansas Missouri Oklahoma USA</t>
  </si>
  <si>
    <t>Lepow</t>
  </si>
  <si>
    <t>Ohio USA</t>
  </si>
  <si>
    <t>children without intermediate booster</t>
  </si>
  <si>
    <t>Prechallenge Log2NAb</t>
  </si>
  <si>
    <t>Postchallenge Log2NAb</t>
  </si>
  <si>
    <t>Takatsu</t>
  </si>
  <si>
    <t>vaccinees initially tripple negative</t>
  </si>
  <si>
    <t>temporary marker for prior exposure to vaccine until cross reactivity is added to analysis</t>
  </si>
  <si>
    <t>BenyeshMelnick</t>
  </si>
  <si>
    <t>Houston USA</t>
  </si>
  <si>
    <t>group I</t>
  </si>
  <si>
    <t>group IV</t>
  </si>
  <si>
    <t>group II</t>
  </si>
  <si>
    <t>group III</t>
  </si>
  <si>
    <t>New York USA</t>
  </si>
  <si>
    <t>total NAb &lt; 4</t>
  </si>
  <si>
    <t>total NAb 4-16</t>
  </si>
  <si>
    <t>total NAb 32-128</t>
  </si>
  <si>
    <t>total NAb &gt;= 256</t>
  </si>
  <si>
    <t>age group &lt; 1</t>
  </si>
  <si>
    <t>age group 1-4</t>
  </si>
  <si>
    <t>age group 5-9</t>
  </si>
  <si>
    <t>age group 10-19</t>
  </si>
  <si>
    <t>age group &gt;=20</t>
  </si>
  <si>
    <t>PHLS</t>
  </si>
  <si>
    <t>sabin group</t>
  </si>
  <si>
    <t>quadrilin group</t>
  </si>
  <si>
    <t>salk group</t>
  </si>
  <si>
    <t>control no vaccination group</t>
  </si>
  <si>
    <t>Dayan</t>
  </si>
  <si>
    <t>Puerto Rico</t>
  </si>
  <si>
    <t>EPI schedule maternal titer &lt; 64</t>
  </si>
  <si>
    <t>US schedule maternal titer &lt; 64</t>
  </si>
  <si>
    <t>EPI schedule maternal titer &gt;= 64</t>
  </si>
  <si>
    <t>US schedule maternal titer &gt;= 64</t>
  </si>
  <si>
    <t>Quart 2</t>
  </si>
  <si>
    <t>Quart 3</t>
  </si>
  <si>
    <t>Laassri</t>
  </si>
  <si>
    <t>Maryland Missouri USA</t>
  </si>
  <si>
    <t>C IPV-IPV-OPV</t>
  </si>
  <si>
    <t>A/B OPV</t>
  </si>
  <si>
    <t>Patriarca</t>
  </si>
  <si>
    <t>Bazil</t>
  </si>
  <si>
    <t>low dose tOPV</t>
  </si>
  <si>
    <t>high dose tOPV</t>
  </si>
  <si>
    <t>mOPV3</t>
  </si>
  <si>
    <t>Holguin</t>
  </si>
  <si>
    <t>Atlanta USA</t>
  </si>
  <si>
    <t>A &amp; B mOPV1 maternal NAb1 &lt;=32</t>
  </si>
  <si>
    <t>A &amp; B mOPV1 maternal NAb1 64-256</t>
  </si>
  <si>
    <t>A &amp; B mOPV1 maternal NAb1 &gt;=512</t>
  </si>
  <si>
    <t>C &amp; D bOPV maternal NAb1 &lt;=32</t>
  </si>
  <si>
    <t>C &amp; D bOPV maternal NAb1 64-256</t>
  </si>
  <si>
    <t>C &amp; D bOPV maternal NAb1 &gt;=512</t>
  </si>
  <si>
    <t>Moradabad India</t>
  </si>
  <si>
    <t>Estivariz</t>
  </si>
  <si>
    <t>stunted</t>
  </si>
  <si>
    <t>tOPV seroprevalence dose 0</t>
  </si>
  <si>
    <t>tOPV seroprevalence dose 1</t>
  </si>
  <si>
    <t>tOPV seroprevalence dose 2</t>
  </si>
  <si>
    <t>tOPV seroprevalence dose 3</t>
  </si>
  <si>
    <t>tOPV seroprevalence dose 4</t>
  </si>
  <si>
    <t>mOPV1 sp</t>
  </si>
  <si>
    <t>mOPV1 hp</t>
  </si>
  <si>
    <t>GSK IPV ID</t>
  </si>
  <si>
    <t>GSK IPV IM</t>
  </si>
  <si>
    <t>Panacea IPV IM</t>
  </si>
  <si>
    <t>ParentDuChatelet</t>
  </si>
  <si>
    <t>4-OPV group</t>
  </si>
  <si>
    <t>4-OPV 3-IPV group</t>
  </si>
  <si>
    <t>4-OPV 1-IPVgroup</t>
  </si>
  <si>
    <t>Karachi, Pakistan</t>
  </si>
  <si>
    <t>A IPV group</t>
  </si>
  <si>
    <t>B control group</t>
  </si>
  <si>
    <t>assuming 1dose Salk at -12yrs and 1 dose tOPV at -4.6yrs</t>
  </si>
  <si>
    <t>assuming 1dose Salk at -12yrs</t>
  </si>
  <si>
    <t>Faden1993</t>
  </si>
  <si>
    <t>Cabasso</t>
  </si>
  <si>
    <t>Florida USA</t>
  </si>
  <si>
    <t>vaccinated seronegative children</t>
  </si>
  <si>
    <t>schedule 2-4-6-13  months</t>
  </si>
  <si>
    <t>schedule 3-5-12 months</t>
  </si>
  <si>
    <t>Carlsson</t>
  </si>
  <si>
    <t>Sweden</t>
  </si>
  <si>
    <t>Ramsay</t>
  </si>
  <si>
    <t>control schedule OPV-OPV-OPV</t>
  </si>
  <si>
    <t>combined schedule IPV-OPV-OPV</t>
  </si>
  <si>
    <t>7 effect of previous Salk</t>
  </si>
  <si>
    <t>titers are seropositive subjects only?</t>
  </si>
  <si>
    <t>Weckx</t>
  </si>
  <si>
    <t>A birth + 3OPV</t>
  </si>
  <si>
    <t>B 3OPV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</si>
</sst>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7" tint="0.39997558519241921"/>
      <name val="Cambria"/>
      <family val="1"/>
      <scheme val="major"/>
    </font>
    <font>
      <sz val="16"/>
      <color theme="2" tint="-0.249977111117893"/>
      <name val="Cambria"/>
      <family val="1"/>
      <scheme val="major"/>
    </font>
    <font>
      <sz val="16"/>
      <color theme="0" tint="-0.14999847407452621"/>
      <name val="Cambria"/>
      <family val="1"/>
      <scheme val="major"/>
    </font>
    <font>
      <b/>
      <sz val="16"/>
      <color theme="7" tint="0.39997558519241921"/>
      <name val="Cambria"/>
      <family val="1"/>
      <scheme val="major"/>
    </font>
    <font>
      <sz val="16"/>
      <color theme="3" tint="0.79998168889431442"/>
      <name val="Cambria"/>
      <family val="1"/>
      <scheme val="major"/>
    </font>
    <font>
      <sz val="16"/>
      <color theme="5" tint="0.39997558519241921"/>
      <name val="Cambria"/>
      <family val="1"/>
      <scheme val="major"/>
    </font>
    <font>
      <sz val="16"/>
      <color theme="9" tint="0.39997558519241921"/>
      <name val="Cambria"/>
      <family val="1"/>
      <scheme val="major"/>
    </font>
    <font>
      <sz val="16"/>
      <color theme="1"/>
      <name val="Cambria"/>
      <family val="1"/>
      <scheme val="major"/>
    </font>
    <font>
      <sz val="16"/>
      <color theme="7" tint="0.39997558519241921"/>
      <name val="Cambria"/>
      <family val="1"/>
      <scheme val="major"/>
    </font>
    <font>
      <b/>
      <sz val="16"/>
      <color theme="0" tint="-0.14999847407452621"/>
      <name val="Cambria"/>
      <family val="1"/>
      <scheme val="major"/>
    </font>
    <font>
      <b/>
      <sz val="12"/>
      <color theme="2" tint="-0.249977111117893"/>
      <name val="Cambria"/>
      <family val="1"/>
      <scheme val="major"/>
    </font>
    <font>
      <b/>
      <sz val="12"/>
      <color theme="0" tint="-0.14999847407452621"/>
      <name val="Cambria"/>
      <family val="1"/>
      <scheme val="major"/>
    </font>
    <font>
      <b/>
      <sz val="12"/>
      <color theme="3" tint="0.79998168889431442"/>
      <name val="Cambria"/>
      <family val="1"/>
      <scheme val="major"/>
    </font>
    <font>
      <b/>
      <sz val="12"/>
      <color theme="5" tint="0.39997558519241921"/>
      <name val="Cambria"/>
      <family val="1"/>
      <scheme val="major"/>
    </font>
    <font>
      <b/>
      <sz val="12"/>
      <color theme="9" tint="0.39997558519241921"/>
      <name val="Cambria"/>
      <family val="1"/>
      <scheme val="major"/>
    </font>
    <font>
      <sz val="11"/>
      <color theme="0" tint="-0.14999847407452621"/>
      <name val="Cambria"/>
      <family val="1"/>
      <scheme val="major"/>
    </font>
    <font>
      <b/>
      <sz val="11"/>
      <color theme="0" tint="-0.14999847407452621"/>
      <name val="Cambria"/>
      <family val="1"/>
      <scheme val="major"/>
    </font>
    <font>
      <sz val="11"/>
      <color theme="7" tint="0.59999389629810485"/>
      <name val="Cambria"/>
      <family val="1"/>
      <scheme val="major"/>
    </font>
    <font>
      <b/>
      <sz val="11"/>
      <color theme="7" tint="0.59999389629810485"/>
      <name val="Cambria"/>
      <family val="1"/>
      <scheme val="major"/>
    </font>
    <font>
      <b/>
      <sz val="12"/>
      <color theme="7" tint="-0.499984740745262"/>
      <name val="Cambria"/>
      <family val="1"/>
      <scheme val="major"/>
    </font>
    <font>
      <b/>
      <sz val="12"/>
      <color theme="6" tint="0.59999389629810485"/>
      <name val="Cambria"/>
      <family val="1"/>
      <scheme val="major"/>
    </font>
    <font>
      <sz val="16"/>
      <color theme="6" tint="0.59999389629810485"/>
      <name val="Cambria"/>
      <family val="1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00216"/>
        <bgColor indexed="64"/>
      </patternFill>
    </fill>
    <fill>
      <patternFill patternType="solid">
        <fgColor rgb="FF16031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24994659260841701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1" tint="0.24994659260841701"/>
      </left>
      <right/>
      <top/>
      <bottom style="thin">
        <color theme="0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3">
    <xf numFmtId="0" fontId="0" fillId="0" borderId="0" xfId="0"/>
    <xf numFmtId="1" fontId="21" fillId="33" borderId="0" xfId="0" applyNumberFormat="1" applyFont="1" applyFill="1"/>
    <xf numFmtId="1" fontId="22" fillId="33" borderId="0" xfId="0" applyNumberFormat="1" applyFont="1" applyFill="1"/>
    <xf numFmtId="164" fontId="22" fillId="33" borderId="0" xfId="0" applyNumberFormat="1" applyFont="1" applyFill="1"/>
    <xf numFmtId="1" fontId="23" fillId="33" borderId="0" xfId="0" applyNumberFormat="1" applyFont="1" applyFill="1"/>
    <xf numFmtId="1" fontId="24" fillId="33" borderId="11" xfId="0" applyNumberFormat="1" applyFont="1" applyFill="1" applyBorder="1"/>
    <xf numFmtId="164" fontId="24" fillId="33" borderId="0" xfId="0" applyNumberFormat="1" applyFont="1" applyFill="1"/>
    <xf numFmtId="2" fontId="25" fillId="33" borderId="0" xfId="0" applyNumberFormat="1" applyFont="1" applyFill="1"/>
    <xf numFmtId="164" fontId="25" fillId="33" borderId="0" xfId="0" applyNumberFormat="1" applyFont="1" applyFill="1"/>
    <xf numFmtId="164" fontId="26" fillId="33" borderId="0" xfId="0" applyNumberFormat="1" applyFont="1" applyFill="1"/>
    <xf numFmtId="2" fontId="26" fillId="33" borderId="0" xfId="0" applyNumberFormat="1" applyFont="1" applyFill="1"/>
    <xf numFmtId="1" fontId="26" fillId="33" borderId="0" xfId="0" applyNumberFormat="1" applyFont="1" applyFill="1"/>
    <xf numFmtId="2" fontId="22" fillId="33" borderId="0" xfId="0" applyNumberFormat="1" applyFont="1" applyFill="1"/>
    <xf numFmtId="164" fontId="22" fillId="33" borderId="11" xfId="0" applyNumberFormat="1" applyFont="1" applyFill="1" applyBorder="1"/>
    <xf numFmtId="165" fontId="22" fillId="33" borderId="0" xfId="0" applyNumberFormat="1" applyFont="1" applyFill="1"/>
    <xf numFmtId="0" fontId="22" fillId="33" borderId="0" xfId="0" applyFont="1" applyFill="1"/>
    <xf numFmtId="0" fontId="0" fillId="33" borderId="0" xfId="0" applyFill="1"/>
    <xf numFmtId="1" fontId="25" fillId="33" borderId="0" xfId="0" applyNumberFormat="1" applyFont="1" applyFill="1"/>
    <xf numFmtId="16" fontId="22" fillId="33" borderId="0" xfId="0" applyNumberFormat="1" applyFont="1" applyFill="1"/>
    <xf numFmtId="0" fontId="27" fillId="33" borderId="0" xfId="0" applyFont="1" applyFill="1"/>
    <xf numFmtId="1" fontId="28" fillId="33" borderId="0" xfId="0" applyNumberFormat="1" applyFont="1" applyFill="1"/>
    <xf numFmtId="0" fontId="19" fillId="33" borderId="0" xfId="0" applyFont="1" applyFill="1"/>
    <xf numFmtId="0" fontId="21" fillId="33" borderId="0" xfId="0" applyFont="1" applyFill="1"/>
    <xf numFmtId="0" fontId="41" fillId="33" borderId="0" xfId="0" applyFont="1" applyFill="1"/>
    <xf numFmtId="164" fontId="41" fillId="33" borderId="0" xfId="0" applyNumberFormat="1" applyFont="1" applyFill="1"/>
    <xf numFmtId="165" fontId="41" fillId="33" borderId="0" xfId="0" applyNumberFormat="1" applyFont="1" applyFill="1"/>
    <xf numFmtId="0" fontId="35" fillId="33" borderId="0" xfId="0" applyFont="1" applyFill="1"/>
    <xf numFmtId="164" fontId="37" fillId="33" borderId="0" xfId="0" applyNumberFormat="1" applyFont="1" applyFill="1"/>
    <xf numFmtId="164" fontId="38" fillId="33" borderId="0" xfId="0" applyNumberFormat="1" applyFont="1" applyFill="1"/>
    <xf numFmtId="164" fontId="35" fillId="33" borderId="0" xfId="0" applyNumberFormat="1" applyFont="1" applyFill="1"/>
    <xf numFmtId="0" fontId="36" fillId="33" borderId="10" xfId="0" applyFont="1" applyFill="1" applyBorder="1"/>
    <xf numFmtId="164" fontId="37" fillId="33" borderId="10" xfId="0" applyNumberFormat="1" applyFont="1" applyFill="1" applyBorder="1"/>
    <xf numFmtId="0" fontId="35" fillId="33" borderId="10" xfId="0" applyFont="1" applyFill="1" applyBorder="1"/>
    <xf numFmtId="164" fontId="38" fillId="33" borderId="10" xfId="0" applyNumberFormat="1" applyFont="1" applyFill="1" applyBorder="1"/>
    <xf numFmtId="0" fontId="38" fillId="33" borderId="10" xfId="0" applyFont="1" applyFill="1" applyBorder="1" applyAlignment="1">
      <alignment wrapText="1"/>
    </xf>
    <xf numFmtId="1" fontId="38" fillId="33" borderId="10" xfId="0" applyNumberFormat="1" applyFont="1" applyFill="1" applyBorder="1" applyAlignment="1">
      <alignment wrapText="1"/>
    </xf>
    <xf numFmtId="0" fontId="37" fillId="33" borderId="0" xfId="0" applyFont="1" applyFill="1"/>
    <xf numFmtId="2" fontId="35" fillId="33" borderId="0" xfId="0" applyNumberFormat="1" applyFont="1" applyFill="1"/>
    <xf numFmtId="2" fontId="37" fillId="33" borderId="0" xfId="0" applyNumberFormat="1" applyFont="1" applyFill="1"/>
    <xf numFmtId="164" fontId="38" fillId="33" borderId="10" xfId="0" applyNumberFormat="1" applyFont="1" applyFill="1" applyBorder="1" applyAlignment="1">
      <alignment wrapText="1"/>
    </xf>
    <xf numFmtId="1" fontId="30" fillId="34" borderId="12" xfId="0" applyNumberFormat="1" applyFont="1" applyFill="1" applyBorder="1" applyAlignment="1">
      <alignment wrapText="1"/>
    </xf>
    <xf numFmtId="1" fontId="31" fillId="34" borderId="12" xfId="0" applyNumberFormat="1" applyFont="1" applyFill="1" applyBorder="1" applyAlignment="1">
      <alignment wrapText="1"/>
    </xf>
    <xf numFmtId="164" fontId="31" fillId="34" borderId="12" xfId="0" applyNumberFormat="1" applyFont="1" applyFill="1" applyBorder="1" applyAlignment="1">
      <alignment wrapText="1"/>
    </xf>
    <xf numFmtId="1" fontId="20" fillId="34" borderId="12" xfId="0" applyNumberFormat="1" applyFont="1" applyFill="1" applyBorder="1" applyAlignment="1">
      <alignment wrapText="1"/>
    </xf>
    <xf numFmtId="1" fontId="32" fillId="34" borderId="13" xfId="0" applyNumberFormat="1" applyFont="1" applyFill="1" applyBorder="1" applyAlignment="1">
      <alignment wrapText="1"/>
    </xf>
    <xf numFmtId="164" fontId="32" fillId="34" borderId="12" xfId="0" applyNumberFormat="1" applyFont="1" applyFill="1" applyBorder="1" applyAlignment="1">
      <alignment wrapText="1"/>
    </xf>
    <xf numFmtId="1" fontId="33" fillId="34" borderId="12" xfId="0" applyNumberFormat="1" applyFont="1" applyFill="1" applyBorder="1" applyAlignment="1">
      <alignment wrapText="1"/>
    </xf>
    <xf numFmtId="2" fontId="33" fillId="34" borderId="12" xfId="0" applyNumberFormat="1" applyFont="1" applyFill="1" applyBorder="1" applyAlignment="1">
      <alignment wrapText="1"/>
    </xf>
    <xf numFmtId="164" fontId="33" fillId="34" borderId="12" xfId="0" applyNumberFormat="1" applyFont="1" applyFill="1" applyBorder="1" applyAlignment="1">
      <alignment wrapText="1"/>
    </xf>
    <xf numFmtId="164" fontId="34" fillId="34" borderId="12" xfId="0" applyNumberFormat="1" applyFont="1" applyFill="1" applyBorder="1" applyAlignment="1">
      <alignment wrapText="1"/>
    </xf>
    <xf numFmtId="2" fontId="34" fillId="34" borderId="12" xfId="0" applyNumberFormat="1" applyFont="1" applyFill="1" applyBorder="1" applyAlignment="1">
      <alignment wrapText="1"/>
    </xf>
    <xf numFmtId="1" fontId="34" fillId="34" borderId="12" xfId="0" applyNumberFormat="1" applyFont="1" applyFill="1" applyBorder="1" applyAlignment="1">
      <alignment wrapText="1"/>
    </xf>
    <xf numFmtId="2" fontId="31" fillId="34" borderId="12" xfId="0" applyNumberFormat="1" applyFont="1" applyFill="1" applyBorder="1" applyAlignment="1">
      <alignment wrapText="1"/>
    </xf>
    <xf numFmtId="164" fontId="31" fillId="34" borderId="13" xfId="0" applyNumberFormat="1" applyFont="1" applyFill="1" applyBorder="1" applyAlignment="1">
      <alignment wrapText="1"/>
    </xf>
    <xf numFmtId="165" fontId="31" fillId="34" borderId="12" xfId="0" applyNumberFormat="1" applyFont="1" applyFill="1" applyBorder="1" applyAlignment="1">
      <alignment wrapText="1"/>
    </xf>
    <xf numFmtId="0" fontId="31" fillId="34" borderId="12" xfId="0" applyFont="1" applyFill="1" applyBorder="1" applyAlignment="1">
      <alignment wrapText="1"/>
    </xf>
    <xf numFmtId="0" fontId="18" fillId="34" borderId="12" xfId="0" applyFont="1" applyFill="1" applyBorder="1"/>
    <xf numFmtId="0" fontId="30" fillId="34" borderId="12" xfId="0" applyFont="1" applyFill="1" applyBorder="1" applyAlignment="1">
      <alignment wrapText="1"/>
    </xf>
    <xf numFmtId="0" fontId="40" fillId="34" borderId="12" xfId="0" applyFont="1" applyFill="1" applyBorder="1" applyAlignment="1">
      <alignment wrapText="1"/>
    </xf>
    <xf numFmtId="1" fontId="40" fillId="34" borderId="12" xfId="0" applyNumberFormat="1" applyFont="1" applyFill="1" applyBorder="1" applyAlignment="1">
      <alignment wrapText="1"/>
    </xf>
    <xf numFmtId="0" fontId="39" fillId="34" borderId="12" xfId="0" applyFont="1" applyFill="1" applyBorder="1"/>
    <xf numFmtId="164" fontId="40" fillId="34" borderId="12" xfId="0" applyNumberFormat="1" applyFont="1" applyFill="1" applyBorder="1" applyAlignment="1">
      <alignment wrapText="1"/>
    </xf>
    <xf numFmtId="0" fontId="40" fillId="34" borderId="10" xfId="0" applyFont="1" applyFill="1" applyBorder="1" applyAlignment="1">
      <alignment wrapText="1"/>
    </xf>
    <xf numFmtId="1" fontId="40" fillId="34" borderId="10" xfId="0" applyNumberFormat="1" applyFont="1" applyFill="1" applyBorder="1" applyAlignment="1">
      <alignment wrapText="1"/>
    </xf>
    <xf numFmtId="0" fontId="31" fillId="34" borderId="10" xfId="0" applyFont="1" applyFill="1" applyBorder="1" applyAlignment="1">
      <alignment wrapText="1"/>
    </xf>
    <xf numFmtId="0" fontId="39" fillId="34" borderId="10" xfId="0" applyFont="1" applyFill="1" applyBorder="1"/>
    <xf numFmtId="1" fontId="30" fillId="34" borderId="10" xfId="0" applyNumberFormat="1" applyFont="1" applyFill="1" applyBorder="1" applyAlignment="1">
      <alignment wrapText="1"/>
    </xf>
    <xf numFmtId="1" fontId="21" fillId="33" borderId="0" xfId="0" applyNumberFormat="1" applyFont="1" applyFill="1"/>
    <xf numFmtId="1" fontId="22" fillId="33" borderId="0" xfId="0" applyNumberFormat="1" applyFont="1" applyFill="1"/>
    <xf numFmtId="164" fontId="22" fillId="33" borderId="0" xfId="0" applyNumberFormat="1" applyFont="1" applyFill="1"/>
    <xf numFmtId="1" fontId="23" fillId="33" borderId="0" xfId="0" applyNumberFormat="1" applyFont="1" applyFill="1"/>
    <xf numFmtId="1" fontId="24" fillId="33" borderId="11" xfId="0" applyNumberFormat="1" applyFont="1" applyFill="1" applyBorder="1"/>
    <xf numFmtId="164" fontId="24" fillId="33" borderId="0" xfId="0" applyNumberFormat="1" applyFont="1" applyFill="1"/>
    <xf numFmtId="2" fontId="25" fillId="33" borderId="0" xfId="0" applyNumberFormat="1" applyFont="1" applyFill="1"/>
    <xf numFmtId="164" fontId="25" fillId="33" borderId="0" xfId="0" applyNumberFormat="1" applyFont="1" applyFill="1"/>
    <xf numFmtId="164" fontId="26" fillId="33" borderId="0" xfId="0" applyNumberFormat="1" applyFont="1" applyFill="1"/>
    <xf numFmtId="2" fontId="26" fillId="33" borderId="0" xfId="0" applyNumberFormat="1" applyFont="1" applyFill="1"/>
    <xf numFmtId="1" fontId="26" fillId="33" borderId="0" xfId="0" applyNumberFormat="1" applyFont="1" applyFill="1"/>
    <xf numFmtId="2" fontId="22" fillId="33" borderId="0" xfId="0" applyNumberFormat="1" applyFont="1" applyFill="1"/>
    <xf numFmtId="164" fontId="22" fillId="33" borderId="11" xfId="0" applyNumberFormat="1" applyFont="1" applyFill="1" applyBorder="1"/>
    <xf numFmtId="165" fontId="22" fillId="33" borderId="0" xfId="0" applyNumberFormat="1" applyFont="1" applyFill="1"/>
    <xf numFmtId="0" fontId="22" fillId="33" borderId="0" xfId="0" applyFont="1" applyFill="1"/>
    <xf numFmtId="0" fontId="0" fillId="33" borderId="0" xfId="0" applyFill="1"/>
    <xf numFmtId="1" fontId="29" fillId="33" borderId="0" xfId="0" applyNumberFormat="1" applyFont="1" applyFill="1" applyAlignment="1">
      <alignment wrapText="1"/>
    </xf>
    <xf numFmtId="1" fontId="25" fillId="33" borderId="0" xfId="0" applyNumberFormat="1" applyFont="1" applyFill="1"/>
    <xf numFmtId="0" fontId="27" fillId="33" borderId="0" xfId="0" applyFont="1" applyFill="1"/>
    <xf numFmtId="0" fontId="21" fillId="33" borderId="0" xfId="0" applyFont="1" applyFill="1"/>
    <xf numFmtId="0" fontId="41" fillId="33" borderId="0" xfId="0" applyFont="1" applyFill="1"/>
    <xf numFmtId="1" fontId="31" fillId="34" borderId="12" xfId="0" applyNumberFormat="1" applyFont="1" applyFill="1" applyBorder="1" applyAlignment="1">
      <alignment wrapText="1"/>
    </xf>
    <xf numFmtId="165" fontId="31" fillId="34" borderId="12" xfId="0" applyNumberFormat="1" applyFont="1" applyFill="1" applyBorder="1" applyAlignment="1">
      <alignment wrapText="1"/>
    </xf>
    <xf numFmtId="0" fontId="40" fillId="34" borderId="12" xfId="0" applyFont="1" applyFill="1" applyBorder="1" applyAlignment="1">
      <alignment wrapText="1"/>
    </xf>
    <xf numFmtId="1" fontId="22" fillId="33" borderId="11" xfId="0" applyNumberFormat="1" applyFont="1" applyFill="1" applyBorder="1"/>
    <xf numFmtId="1" fontId="24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9"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9" tint="0.39994506668294322"/>
      </font>
    </dxf>
  </dxfs>
  <tableStyles count="0" defaultTableStyle="TableStyleMedium9" defaultPivotStyle="PivotStyleLight16"/>
  <colors>
    <mruColors>
      <color rgb="FF16031F"/>
      <color rgb="FF100216"/>
      <color rgb="FF1A0323"/>
      <color rgb="FF0D0D0D"/>
      <color rgb="FF171717"/>
      <color rgb="FF525252"/>
      <color rgb="FF5656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38"/>
  <sheetViews>
    <sheetView zoomScale="85" zoomScaleNormal="85" workbookViewId="0">
      <selection activeCell="E6" sqref="E6:E11"/>
    </sheetView>
  </sheetViews>
  <sheetFormatPr defaultRowHeight="14.25" x14ac:dyDescent="0.2"/>
  <cols>
    <col min="1" max="3" width="9.140625" style="26"/>
    <col min="4" max="4" width="7.7109375" style="26" customWidth="1"/>
    <col min="5" max="5" width="15.28515625" style="28" customWidth="1"/>
    <col min="6" max="6" width="12.7109375" style="28" customWidth="1"/>
    <col min="7" max="12" width="9.140625" style="26"/>
    <col min="13" max="13" width="9.140625" style="28"/>
    <col min="14" max="16384" width="9.140625" style="26"/>
  </cols>
  <sheetData>
    <row r="1" spans="1:30" x14ac:dyDescent="0.2">
      <c r="B1" s="26" t="s">
        <v>23</v>
      </c>
      <c r="E1" s="27"/>
      <c r="F1" s="27"/>
      <c r="J1" s="26" t="s">
        <v>24</v>
      </c>
      <c r="P1" s="26" t="s">
        <v>41</v>
      </c>
    </row>
    <row r="2" spans="1:30" x14ac:dyDescent="0.2">
      <c r="B2" s="26" t="s">
        <v>18</v>
      </c>
      <c r="E2" s="29" t="s">
        <v>19</v>
      </c>
      <c r="F2" s="27"/>
      <c r="Q2" s="26" t="s">
        <v>29</v>
      </c>
    </row>
    <row r="3" spans="1:30" x14ac:dyDescent="0.2">
      <c r="B3" s="26" t="s">
        <v>433</v>
      </c>
      <c r="E3" s="29"/>
      <c r="F3" s="27"/>
    </row>
    <row r="4" spans="1:30" x14ac:dyDescent="0.2">
      <c r="B4" s="26" t="s">
        <v>432</v>
      </c>
      <c r="E4" s="29"/>
      <c r="F4" s="27"/>
    </row>
    <row r="5" spans="1:30" ht="42.75" x14ac:dyDescent="0.2">
      <c r="A5" s="30" t="s">
        <v>22</v>
      </c>
      <c r="B5" s="30" t="s">
        <v>15</v>
      </c>
      <c r="C5" s="30" t="s">
        <v>16</v>
      </c>
      <c r="D5" s="30" t="s">
        <v>17</v>
      </c>
      <c r="E5" s="31" t="s">
        <v>20</v>
      </c>
      <c r="F5" s="31" t="s">
        <v>272</v>
      </c>
      <c r="G5" s="32"/>
      <c r="J5" s="30" t="s">
        <v>22</v>
      </c>
      <c r="K5" s="30" t="s">
        <v>16</v>
      </c>
      <c r="L5" s="30" t="s">
        <v>17</v>
      </c>
      <c r="M5" s="33" t="s">
        <v>21</v>
      </c>
      <c r="N5" s="32"/>
      <c r="P5" s="34" t="s">
        <v>3</v>
      </c>
      <c r="Q5" s="34">
        <v>0</v>
      </c>
      <c r="R5" s="34">
        <v>1</v>
      </c>
      <c r="S5" s="35">
        <v>2</v>
      </c>
      <c r="T5" s="35">
        <v>3</v>
      </c>
      <c r="U5" s="35">
        <v>4</v>
      </c>
      <c r="V5" s="35">
        <v>5</v>
      </c>
      <c r="W5" s="35">
        <v>6</v>
      </c>
      <c r="X5" s="35">
        <v>7</v>
      </c>
      <c r="Y5" s="35">
        <v>8</v>
      </c>
      <c r="Z5" s="35">
        <v>9</v>
      </c>
      <c r="AA5" s="35">
        <v>10</v>
      </c>
      <c r="AB5" s="35">
        <v>11</v>
      </c>
      <c r="AC5" s="35">
        <v>12</v>
      </c>
    </row>
    <row r="6" spans="1:30" ht="20.25" x14ac:dyDescent="0.3">
      <c r="A6" s="26">
        <v>38</v>
      </c>
      <c r="B6" s="26">
        <v>53</v>
      </c>
      <c r="E6" s="28">
        <f>LOG(B6)/LOG(2)</f>
        <v>5.7279204545631988</v>
      </c>
      <c r="F6" s="28" t="e">
        <f>POWER((LOG(D6/C6)/LOG(2))*0.5*SQRT(A6)/1.96, 2)</f>
        <v>#DIV/0!</v>
      </c>
      <c r="J6" s="26">
        <v>1</v>
      </c>
      <c r="K6" s="26">
        <v>0</v>
      </c>
      <c r="L6" s="26">
        <v>5</v>
      </c>
      <c r="M6" s="28">
        <f>POWER((L6-K6)*0.5*SQRT(J6)/1.96,2)</f>
        <v>1.626926280716368</v>
      </c>
      <c r="P6" s="86"/>
      <c r="Q6" s="87">
        <v>14</v>
      </c>
      <c r="R6" s="87">
        <f t="shared" ref="R6:S6" si="0">Q6+0</f>
        <v>14</v>
      </c>
      <c r="S6" s="87">
        <f t="shared" si="0"/>
        <v>14</v>
      </c>
      <c r="T6" s="87">
        <f>S6+7</f>
        <v>21</v>
      </c>
      <c r="U6" s="87">
        <f>T6+8</f>
        <v>29</v>
      </c>
      <c r="V6" s="87">
        <f>U6+11</f>
        <v>40</v>
      </c>
      <c r="W6" s="87">
        <f>V6+11</f>
        <v>51</v>
      </c>
      <c r="X6" s="87">
        <f>W6+13</f>
        <v>64</v>
      </c>
      <c r="Y6" s="87">
        <f>X6+11</f>
        <v>75</v>
      </c>
      <c r="Z6" s="87">
        <f>Y6+2</f>
        <v>77</v>
      </c>
      <c r="AA6" s="87">
        <f>Z6+3</f>
        <v>80</v>
      </c>
      <c r="AB6" s="87">
        <f t="shared" ref="AB6:AC6" si="1">AA6+0</f>
        <v>80</v>
      </c>
      <c r="AC6" s="87">
        <f t="shared" si="1"/>
        <v>80</v>
      </c>
    </row>
    <row r="7" spans="1:30" x14ac:dyDescent="0.2">
      <c r="A7" s="26">
        <v>38</v>
      </c>
      <c r="B7" s="26">
        <v>13</v>
      </c>
      <c r="E7" s="28">
        <f t="shared" ref="E7:E38" si="2">LOG(B7)/LOG(2)</f>
        <v>3.7004397181410922</v>
      </c>
      <c r="F7" s="28" t="e">
        <f t="shared" ref="F7:F38" si="3">POWER((LOG(D7/C7)/LOG(2))*0.5*SQRT(A7)/1.96, 2)</f>
        <v>#DIV/0!</v>
      </c>
      <c r="J7" s="26">
        <v>1</v>
      </c>
      <c r="K7" s="26">
        <v>6</v>
      </c>
      <c r="L7" s="26">
        <v>8</v>
      </c>
      <c r="M7" s="28">
        <f t="shared" ref="M7:M16" si="4">POWER((L7-K7)*0.5*SQRT(J7)/1.96,2)</f>
        <v>0.26030820491461892</v>
      </c>
      <c r="Q7" s="36">
        <f>Q6</f>
        <v>14</v>
      </c>
      <c r="R7" s="36">
        <f>R6-Q6</f>
        <v>0</v>
      </c>
      <c r="S7" s="36">
        <f t="shared" ref="S7:AC7" si="5">S6-R6</f>
        <v>0</v>
      </c>
      <c r="T7" s="36">
        <f t="shared" si="5"/>
        <v>7</v>
      </c>
      <c r="U7" s="36">
        <f t="shared" si="5"/>
        <v>8</v>
      </c>
      <c r="V7" s="36">
        <f t="shared" si="5"/>
        <v>11</v>
      </c>
      <c r="W7" s="36">
        <f t="shared" si="5"/>
        <v>11</v>
      </c>
      <c r="X7" s="36">
        <f t="shared" si="5"/>
        <v>13</v>
      </c>
      <c r="Y7" s="36">
        <f t="shared" si="5"/>
        <v>11</v>
      </c>
      <c r="Z7" s="36">
        <f t="shared" si="5"/>
        <v>2</v>
      </c>
      <c r="AA7" s="36">
        <f t="shared" si="5"/>
        <v>3</v>
      </c>
      <c r="AB7" s="36">
        <f t="shared" si="5"/>
        <v>0</v>
      </c>
      <c r="AC7" s="36">
        <f t="shared" si="5"/>
        <v>0</v>
      </c>
      <c r="AD7" s="36" t="s">
        <v>38</v>
      </c>
    </row>
    <row r="8" spans="1:30" x14ac:dyDescent="0.2">
      <c r="A8" s="26">
        <v>38</v>
      </c>
      <c r="B8" s="26">
        <v>9</v>
      </c>
      <c r="E8" s="28">
        <f t="shared" si="2"/>
        <v>3.1699250014423122</v>
      </c>
      <c r="F8" s="28" t="e">
        <f t="shared" si="3"/>
        <v>#DIV/0!</v>
      </c>
      <c r="J8" s="26">
        <v>1</v>
      </c>
      <c r="K8" s="26">
        <v>9</v>
      </c>
      <c r="L8" s="26">
        <v>11</v>
      </c>
      <c r="M8" s="28">
        <f t="shared" si="4"/>
        <v>0.26030820491461892</v>
      </c>
      <c r="Q8" s="37">
        <f>(Q5-$R$10)^2</f>
        <v>25.125156250000003</v>
      </c>
      <c r="R8" s="37">
        <f t="shared" ref="R8:AC8" si="6">(R5-$R$10)^2</f>
        <v>16.100156250000001</v>
      </c>
      <c r="S8" s="37">
        <f t="shared" si="6"/>
        <v>9.0751562500000009</v>
      </c>
      <c r="T8" s="37">
        <f t="shared" si="6"/>
        <v>4.0501562500000006</v>
      </c>
      <c r="U8" s="37">
        <f t="shared" si="6"/>
        <v>1.0251562500000004</v>
      </c>
      <c r="V8" s="37">
        <f t="shared" si="6"/>
        <v>1.5625000000000445E-4</v>
      </c>
      <c r="W8" s="37">
        <f t="shared" si="6"/>
        <v>0.97515624999999961</v>
      </c>
      <c r="X8" s="37">
        <f t="shared" si="6"/>
        <v>3.9501562499999991</v>
      </c>
      <c r="Y8" s="37">
        <f t="shared" si="6"/>
        <v>8.9251562499999988</v>
      </c>
      <c r="Z8" s="37">
        <f t="shared" si="6"/>
        <v>15.900156249999998</v>
      </c>
      <c r="AA8" s="37">
        <f t="shared" si="6"/>
        <v>24.87515625</v>
      </c>
      <c r="AB8" s="37">
        <f t="shared" si="6"/>
        <v>35.850156249999998</v>
      </c>
      <c r="AC8" s="37">
        <f t="shared" si="6"/>
        <v>48.825156249999999</v>
      </c>
      <c r="AD8" s="26" t="s">
        <v>40</v>
      </c>
    </row>
    <row r="9" spans="1:30" x14ac:dyDescent="0.2">
      <c r="A9" s="26">
        <v>42</v>
      </c>
      <c r="B9" s="26">
        <v>31</v>
      </c>
      <c r="E9" s="28">
        <f t="shared" si="2"/>
        <v>4.9541963103868749</v>
      </c>
      <c r="F9" s="28" t="e">
        <f t="shared" si="3"/>
        <v>#DIV/0!</v>
      </c>
      <c r="J9" s="26">
        <v>1</v>
      </c>
      <c r="K9" s="26">
        <v>2.8</v>
      </c>
      <c r="L9" s="26">
        <v>6</v>
      </c>
      <c r="M9" s="28">
        <f t="shared" si="4"/>
        <v>0.66638900458142447</v>
      </c>
    </row>
    <row r="10" spans="1:30" x14ac:dyDescent="0.2">
      <c r="A10" s="26">
        <v>42</v>
      </c>
      <c r="B10" s="26">
        <v>39</v>
      </c>
      <c r="E10" s="28">
        <f t="shared" si="2"/>
        <v>5.2854022188622478</v>
      </c>
      <c r="F10" s="28" t="e">
        <f t="shared" si="3"/>
        <v>#DIV/0!</v>
      </c>
      <c r="J10" s="26">
        <v>1</v>
      </c>
      <c r="K10" s="26">
        <v>2.5</v>
      </c>
      <c r="L10" s="26">
        <v>4.8</v>
      </c>
      <c r="M10" s="28">
        <f t="shared" si="4"/>
        <v>0.34425760099958341</v>
      </c>
      <c r="Q10" s="26" t="s">
        <v>27</v>
      </c>
      <c r="R10" s="38">
        <f>SUMPRODUCT(Q5:AC5,Q7:AC7)/AC6</f>
        <v>5.0125000000000002</v>
      </c>
      <c r="S10" s="26" t="s">
        <v>30</v>
      </c>
    </row>
    <row r="11" spans="1:30" x14ac:dyDescent="0.2">
      <c r="A11" s="26">
        <v>42</v>
      </c>
      <c r="B11" s="26">
        <v>40</v>
      </c>
      <c r="E11" s="28">
        <f t="shared" si="2"/>
        <v>5.3219280948873617</v>
      </c>
      <c r="F11" s="28" t="e">
        <f t="shared" si="3"/>
        <v>#DIV/0!</v>
      </c>
      <c r="J11" s="26">
        <v>1</v>
      </c>
      <c r="K11" s="26">
        <v>2.5</v>
      </c>
      <c r="L11" s="26">
        <v>2.9</v>
      </c>
      <c r="M11" s="28">
        <f t="shared" si="4"/>
        <v>1.041232819658475E-2</v>
      </c>
      <c r="Q11" s="26" t="s">
        <v>28</v>
      </c>
      <c r="R11" s="38">
        <f>SUMPRODUCT(Q7:AC7,Q8:AC8)/AC6</f>
        <v>8.1873437500000001</v>
      </c>
      <c r="S11" s="26" t="s">
        <v>30</v>
      </c>
    </row>
    <row r="12" spans="1:30" x14ac:dyDescent="0.2">
      <c r="A12" s="26">
        <v>1</v>
      </c>
      <c r="E12" s="28" t="e">
        <f t="shared" si="2"/>
        <v>#NUM!</v>
      </c>
      <c r="F12" s="28" t="e">
        <f t="shared" si="3"/>
        <v>#DIV/0!</v>
      </c>
      <c r="J12" s="26">
        <v>25</v>
      </c>
      <c r="M12" s="28">
        <f t="shared" si="4"/>
        <v>0</v>
      </c>
    </row>
    <row r="13" spans="1:30" x14ac:dyDescent="0.2">
      <c r="A13" s="26">
        <v>1</v>
      </c>
      <c r="E13" s="28" t="e">
        <f t="shared" si="2"/>
        <v>#NUM!</v>
      </c>
      <c r="F13" s="28" t="e">
        <f t="shared" si="3"/>
        <v>#DIV/0!</v>
      </c>
      <c r="J13" s="26">
        <v>10</v>
      </c>
      <c r="K13" s="26">
        <v>8</v>
      </c>
      <c r="L13" s="26">
        <v>11</v>
      </c>
      <c r="M13" s="28">
        <f t="shared" si="4"/>
        <v>5.8569346105789251</v>
      </c>
    </row>
    <row r="14" spans="1:30" x14ac:dyDescent="0.2">
      <c r="A14" s="26">
        <v>1</v>
      </c>
      <c r="E14" s="28" t="e">
        <f t="shared" si="2"/>
        <v>#NUM!</v>
      </c>
      <c r="F14" s="28" t="e">
        <f t="shared" si="3"/>
        <v>#DIV/0!</v>
      </c>
      <c r="J14" s="26">
        <v>36</v>
      </c>
      <c r="K14" s="26">
        <v>5</v>
      </c>
      <c r="L14" s="26">
        <v>48</v>
      </c>
      <c r="M14" s="28">
        <f t="shared" si="4"/>
        <v>4331.7888379841734</v>
      </c>
    </row>
    <row r="15" spans="1:30" x14ac:dyDescent="0.2">
      <c r="A15" s="26">
        <v>0</v>
      </c>
      <c r="B15" s="26">
        <v>0</v>
      </c>
      <c r="C15" s="26">
        <v>0</v>
      </c>
      <c r="D15" s="26">
        <v>0</v>
      </c>
      <c r="E15" s="28" t="e">
        <f t="shared" si="2"/>
        <v>#NUM!</v>
      </c>
      <c r="F15" s="28" t="e">
        <f t="shared" si="3"/>
        <v>#DIV/0!</v>
      </c>
      <c r="J15" s="26">
        <v>24</v>
      </c>
      <c r="K15" s="26">
        <v>4</v>
      </c>
      <c r="L15" s="26">
        <v>34</v>
      </c>
      <c r="M15" s="28">
        <f t="shared" si="4"/>
        <v>1405.6643065389419</v>
      </c>
    </row>
    <row r="16" spans="1:30" x14ac:dyDescent="0.2">
      <c r="A16" s="26">
        <v>0</v>
      </c>
      <c r="B16" s="26">
        <v>0</v>
      </c>
      <c r="C16" s="26">
        <v>0</v>
      </c>
      <c r="D16" s="26">
        <v>0</v>
      </c>
      <c r="E16" s="28" t="e">
        <f t="shared" si="2"/>
        <v>#NUM!</v>
      </c>
      <c r="F16" s="28" t="e">
        <f t="shared" si="3"/>
        <v>#DIV/0!</v>
      </c>
      <c r="J16" s="26">
        <v>4</v>
      </c>
      <c r="K16" s="26">
        <v>8</v>
      </c>
      <c r="L16" s="26">
        <v>8</v>
      </c>
      <c r="M16" s="28">
        <f t="shared" si="4"/>
        <v>0</v>
      </c>
      <c r="P16" s="26" t="s">
        <v>42</v>
      </c>
    </row>
    <row r="17" spans="1:53" ht="71.25" x14ac:dyDescent="0.2">
      <c r="A17" s="26">
        <v>177</v>
      </c>
      <c r="B17" s="26">
        <v>725</v>
      </c>
      <c r="C17" s="26">
        <v>543</v>
      </c>
      <c r="D17" s="26">
        <v>996</v>
      </c>
      <c r="E17" s="28">
        <f t="shared" si="2"/>
        <v>9.5018371849022962</v>
      </c>
      <c r="F17" s="28">
        <f t="shared" si="3"/>
        <v>8.8228590929559072</v>
      </c>
      <c r="P17" s="34" t="s">
        <v>37</v>
      </c>
      <c r="Q17" s="34">
        <v>2</v>
      </c>
      <c r="R17" s="35">
        <v>4</v>
      </c>
      <c r="S17" s="35">
        <f>R17+2</f>
        <v>6</v>
      </c>
      <c r="T17" s="35">
        <f t="shared" ref="T17:AT17" si="7">S17+2</f>
        <v>8</v>
      </c>
      <c r="U17" s="35">
        <f t="shared" si="7"/>
        <v>10</v>
      </c>
      <c r="V17" s="35">
        <f t="shared" si="7"/>
        <v>12</v>
      </c>
      <c r="W17" s="35">
        <f t="shared" si="7"/>
        <v>14</v>
      </c>
      <c r="X17" s="35">
        <f t="shared" si="7"/>
        <v>16</v>
      </c>
      <c r="Y17" s="35">
        <f t="shared" si="7"/>
        <v>18</v>
      </c>
      <c r="Z17" s="35">
        <f t="shared" si="7"/>
        <v>20</v>
      </c>
      <c r="AA17" s="35">
        <f t="shared" si="7"/>
        <v>22</v>
      </c>
      <c r="AB17" s="35">
        <f t="shared" si="7"/>
        <v>24</v>
      </c>
      <c r="AC17" s="35">
        <f t="shared" si="7"/>
        <v>26</v>
      </c>
      <c r="AD17" s="35">
        <f t="shared" si="7"/>
        <v>28</v>
      </c>
      <c r="AE17" s="35">
        <f t="shared" si="7"/>
        <v>30</v>
      </c>
      <c r="AF17" s="35">
        <f t="shared" si="7"/>
        <v>32</v>
      </c>
      <c r="AG17" s="35">
        <f t="shared" si="7"/>
        <v>34</v>
      </c>
      <c r="AH17" s="35">
        <f t="shared" si="7"/>
        <v>36</v>
      </c>
      <c r="AI17" s="35">
        <f t="shared" si="7"/>
        <v>38</v>
      </c>
      <c r="AJ17" s="35">
        <f t="shared" si="7"/>
        <v>40</v>
      </c>
      <c r="AK17" s="35">
        <f t="shared" si="7"/>
        <v>42</v>
      </c>
      <c r="AL17" s="35">
        <f t="shared" si="7"/>
        <v>44</v>
      </c>
      <c r="AM17" s="35">
        <f t="shared" si="7"/>
        <v>46</v>
      </c>
      <c r="AN17" s="35">
        <f t="shared" si="7"/>
        <v>48</v>
      </c>
      <c r="AO17" s="35">
        <f t="shared" si="7"/>
        <v>50</v>
      </c>
      <c r="AP17" s="35">
        <f t="shared" si="7"/>
        <v>52</v>
      </c>
      <c r="AQ17" s="35">
        <f t="shared" si="7"/>
        <v>54</v>
      </c>
      <c r="AR17" s="35">
        <f t="shared" si="7"/>
        <v>56</v>
      </c>
      <c r="AS17" s="35">
        <f t="shared" si="7"/>
        <v>58</v>
      </c>
      <c r="AT17" s="35">
        <f t="shared" si="7"/>
        <v>60</v>
      </c>
      <c r="AU17" s="35">
        <v>70</v>
      </c>
      <c r="AV17" s="35">
        <v>80</v>
      </c>
      <c r="AW17" s="35">
        <v>90</v>
      </c>
      <c r="AX17" s="35">
        <v>100</v>
      </c>
      <c r="AY17" s="35">
        <v>110</v>
      </c>
      <c r="AZ17" s="35">
        <v>120</v>
      </c>
    </row>
    <row r="18" spans="1:53" ht="20.25" x14ac:dyDescent="0.3">
      <c r="E18" s="28" t="e">
        <f t="shared" si="2"/>
        <v>#NUM!</v>
      </c>
      <c r="F18" s="28" t="e">
        <f t="shared" si="3"/>
        <v>#DIV/0!</v>
      </c>
      <c r="J18" s="30" t="s">
        <v>22</v>
      </c>
      <c r="K18" s="30" t="s">
        <v>507</v>
      </c>
      <c r="L18" s="30" t="s">
        <v>508</v>
      </c>
      <c r="M18" s="33" t="s">
        <v>21</v>
      </c>
      <c r="P18" s="67">
        <f>AZ18</f>
        <v>3</v>
      </c>
      <c r="Q18" s="87">
        <v>0</v>
      </c>
      <c r="R18" s="87">
        <f t="shared" ref="R18:U18" si="8">Q18+0</f>
        <v>0</v>
      </c>
      <c r="S18" s="87">
        <f t="shared" si="8"/>
        <v>0</v>
      </c>
      <c r="T18" s="87">
        <f t="shared" si="8"/>
        <v>0</v>
      </c>
      <c r="U18" s="87">
        <f t="shared" si="8"/>
        <v>0</v>
      </c>
      <c r="V18" s="87">
        <f>U18+2</f>
        <v>2</v>
      </c>
      <c r="W18" s="87">
        <f t="shared" ref="W18:Z18" si="9">V18+0</f>
        <v>2</v>
      </c>
      <c r="X18" s="87">
        <f t="shared" si="9"/>
        <v>2</v>
      </c>
      <c r="Y18" s="87">
        <f t="shared" si="9"/>
        <v>2</v>
      </c>
      <c r="Z18" s="87">
        <f t="shared" si="9"/>
        <v>2</v>
      </c>
      <c r="AA18" s="87">
        <f>Z18+1</f>
        <v>3</v>
      </c>
      <c r="AB18" s="87">
        <f t="shared" ref="AB18:AZ18" si="10">AA18+0</f>
        <v>3</v>
      </c>
      <c r="AC18" s="87">
        <f t="shared" si="10"/>
        <v>3</v>
      </c>
      <c r="AD18" s="87">
        <f t="shared" si="10"/>
        <v>3</v>
      </c>
      <c r="AE18" s="87">
        <f t="shared" si="10"/>
        <v>3</v>
      </c>
      <c r="AF18" s="87">
        <f t="shared" si="10"/>
        <v>3</v>
      </c>
      <c r="AG18" s="87">
        <f t="shared" si="10"/>
        <v>3</v>
      </c>
      <c r="AH18" s="87">
        <f t="shared" si="10"/>
        <v>3</v>
      </c>
      <c r="AI18" s="87">
        <f t="shared" si="10"/>
        <v>3</v>
      </c>
      <c r="AJ18" s="87">
        <f t="shared" si="10"/>
        <v>3</v>
      </c>
      <c r="AK18" s="87">
        <f t="shared" si="10"/>
        <v>3</v>
      </c>
      <c r="AL18" s="87">
        <f t="shared" si="10"/>
        <v>3</v>
      </c>
      <c r="AM18" s="87">
        <f t="shared" si="10"/>
        <v>3</v>
      </c>
      <c r="AN18" s="87">
        <f t="shared" si="10"/>
        <v>3</v>
      </c>
      <c r="AO18" s="87">
        <f t="shared" si="10"/>
        <v>3</v>
      </c>
      <c r="AP18" s="87">
        <f t="shared" si="10"/>
        <v>3</v>
      </c>
      <c r="AQ18" s="87">
        <f t="shared" si="10"/>
        <v>3</v>
      </c>
      <c r="AR18" s="87">
        <f t="shared" si="10"/>
        <v>3</v>
      </c>
      <c r="AS18" s="87">
        <f t="shared" si="10"/>
        <v>3</v>
      </c>
      <c r="AT18" s="87">
        <f t="shared" si="10"/>
        <v>3</v>
      </c>
      <c r="AU18" s="87">
        <f t="shared" si="10"/>
        <v>3</v>
      </c>
      <c r="AV18" s="87">
        <f t="shared" si="10"/>
        <v>3</v>
      </c>
      <c r="AW18" s="87">
        <f t="shared" si="10"/>
        <v>3</v>
      </c>
      <c r="AX18" s="87">
        <f t="shared" si="10"/>
        <v>3</v>
      </c>
      <c r="AY18" s="87">
        <f t="shared" si="10"/>
        <v>3</v>
      </c>
      <c r="AZ18" s="87">
        <f t="shared" si="10"/>
        <v>3</v>
      </c>
    </row>
    <row r="19" spans="1:53" x14ac:dyDescent="0.2">
      <c r="E19" s="28" t="e">
        <f t="shared" si="2"/>
        <v>#NUM!</v>
      </c>
      <c r="J19" s="26">
        <v>1</v>
      </c>
      <c r="K19" s="26">
        <v>3.5</v>
      </c>
      <c r="L19" s="26">
        <v>6</v>
      </c>
      <c r="M19" s="28">
        <f t="shared" ref="M19:M27" si="11">POWER((L19-K19)*0.5*SQRT(J19)/0.68,2)</f>
        <v>3.379108996539792</v>
      </c>
      <c r="Q19" s="26">
        <f>Q18</f>
        <v>0</v>
      </c>
      <c r="R19" s="26">
        <f>R18-Q18</f>
        <v>0</v>
      </c>
      <c r="S19" s="26">
        <f t="shared" ref="S19:AZ19" si="12">S18-R18</f>
        <v>0</v>
      </c>
      <c r="T19" s="26">
        <f t="shared" si="12"/>
        <v>0</v>
      </c>
      <c r="U19" s="26">
        <f t="shared" si="12"/>
        <v>0</v>
      </c>
      <c r="V19" s="26">
        <f t="shared" si="12"/>
        <v>2</v>
      </c>
      <c r="W19" s="26">
        <f t="shared" si="12"/>
        <v>0</v>
      </c>
      <c r="X19" s="26">
        <f t="shared" si="12"/>
        <v>0</v>
      </c>
      <c r="Y19" s="26">
        <f t="shared" si="12"/>
        <v>0</v>
      </c>
      <c r="Z19" s="26">
        <f t="shared" si="12"/>
        <v>0</v>
      </c>
      <c r="AA19" s="26">
        <f t="shared" si="12"/>
        <v>1</v>
      </c>
      <c r="AB19" s="26">
        <f t="shared" si="12"/>
        <v>0</v>
      </c>
      <c r="AC19" s="26">
        <f t="shared" si="12"/>
        <v>0</v>
      </c>
      <c r="AD19" s="26">
        <f t="shared" si="12"/>
        <v>0</v>
      </c>
      <c r="AE19" s="26">
        <f t="shared" si="12"/>
        <v>0</v>
      </c>
      <c r="AF19" s="26">
        <f t="shared" si="12"/>
        <v>0</v>
      </c>
      <c r="AG19" s="26">
        <f t="shared" si="12"/>
        <v>0</v>
      </c>
      <c r="AH19" s="26">
        <f t="shared" si="12"/>
        <v>0</v>
      </c>
      <c r="AI19" s="26">
        <f t="shared" si="12"/>
        <v>0</v>
      </c>
      <c r="AJ19" s="26">
        <f t="shared" si="12"/>
        <v>0</v>
      </c>
      <c r="AK19" s="26">
        <f t="shared" si="12"/>
        <v>0</v>
      </c>
      <c r="AL19" s="26">
        <f t="shared" si="12"/>
        <v>0</v>
      </c>
      <c r="AM19" s="26">
        <f t="shared" si="12"/>
        <v>0</v>
      </c>
      <c r="AN19" s="26">
        <f t="shared" si="12"/>
        <v>0</v>
      </c>
      <c r="AO19" s="26">
        <f t="shared" si="12"/>
        <v>0</v>
      </c>
      <c r="AP19" s="26">
        <f t="shared" si="12"/>
        <v>0</v>
      </c>
      <c r="AQ19" s="26">
        <f t="shared" si="12"/>
        <v>0</v>
      </c>
      <c r="AR19" s="26">
        <f t="shared" si="12"/>
        <v>0</v>
      </c>
      <c r="AS19" s="26">
        <f t="shared" si="12"/>
        <v>0</v>
      </c>
      <c r="AT19" s="26">
        <f t="shared" si="12"/>
        <v>0</v>
      </c>
      <c r="AU19" s="26">
        <f t="shared" si="12"/>
        <v>0</v>
      </c>
      <c r="AV19" s="26">
        <f t="shared" si="12"/>
        <v>0</v>
      </c>
      <c r="AW19" s="26">
        <f t="shared" si="12"/>
        <v>0</v>
      </c>
      <c r="AX19" s="26">
        <f t="shared" si="12"/>
        <v>0</v>
      </c>
      <c r="AY19" s="26">
        <f t="shared" si="12"/>
        <v>0</v>
      </c>
      <c r="AZ19" s="26">
        <f t="shared" si="12"/>
        <v>0</v>
      </c>
      <c r="BA19" s="26" t="s">
        <v>39</v>
      </c>
    </row>
    <row r="20" spans="1:53" x14ac:dyDescent="0.2">
      <c r="E20" s="28" t="e">
        <f t="shared" si="2"/>
        <v>#NUM!</v>
      </c>
      <c r="F20" s="28" t="e">
        <f t="shared" si="3"/>
        <v>#DIV/0!</v>
      </c>
      <c r="J20" s="26">
        <v>1</v>
      </c>
      <c r="K20" s="26">
        <v>3.2</v>
      </c>
      <c r="L20" s="26">
        <v>5.9</v>
      </c>
      <c r="M20" s="28">
        <f t="shared" si="11"/>
        <v>3.941392733564014</v>
      </c>
      <c r="Q20" s="37">
        <f>(Q17-$R$22)^2</f>
        <v>177.7777777777778</v>
      </c>
      <c r="R20" s="37">
        <f t="shared" ref="R20:AZ20" si="13">(R17-$R$22)^2</f>
        <v>128.44444444444446</v>
      </c>
      <c r="S20" s="37">
        <f t="shared" si="13"/>
        <v>87.111111111111128</v>
      </c>
      <c r="T20" s="37">
        <f t="shared" si="13"/>
        <v>53.777777777777786</v>
      </c>
      <c r="U20" s="37">
        <f t="shared" si="13"/>
        <v>28.44444444444445</v>
      </c>
      <c r="V20" s="37">
        <f t="shared" si="13"/>
        <v>11.111111111111114</v>
      </c>
      <c r="W20" s="37">
        <f t="shared" si="13"/>
        <v>1.7777777777777795</v>
      </c>
      <c r="X20" s="37">
        <f t="shared" si="13"/>
        <v>0.44444444444444364</v>
      </c>
      <c r="Y20" s="37">
        <f t="shared" si="13"/>
        <v>7.1111111111111081</v>
      </c>
      <c r="Z20" s="37">
        <f t="shared" si="13"/>
        <v>21.777777777777771</v>
      </c>
      <c r="AA20" s="37">
        <f t="shared" si="13"/>
        <v>44.444444444444436</v>
      </c>
      <c r="AB20" s="37">
        <f t="shared" si="13"/>
        <v>75.1111111111111</v>
      </c>
      <c r="AC20" s="37">
        <f t="shared" si="13"/>
        <v>113.77777777777777</v>
      </c>
      <c r="AD20" s="37">
        <f t="shared" si="13"/>
        <v>160.44444444444443</v>
      </c>
      <c r="AE20" s="37">
        <f t="shared" si="13"/>
        <v>215.11111111111109</v>
      </c>
      <c r="AF20" s="37">
        <f t="shared" si="13"/>
        <v>277.77777777777771</v>
      </c>
      <c r="AG20" s="37">
        <f t="shared" si="13"/>
        <v>348.44444444444434</v>
      </c>
      <c r="AH20" s="37">
        <f t="shared" si="13"/>
        <v>427.11111111111103</v>
      </c>
      <c r="AI20" s="37">
        <f t="shared" si="13"/>
        <v>513.77777777777771</v>
      </c>
      <c r="AJ20" s="37">
        <f t="shared" si="13"/>
        <v>608.44444444444434</v>
      </c>
      <c r="AK20" s="37">
        <f t="shared" si="13"/>
        <v>711.11111111111097</v>
      </c>
      <c r="AL20" s="37">
        <f t="shared" si="13"/>
        <v>821.7777777777776</v>
      </c>
      <c r="AM20" s="37">
        <f t="shared" si="13"/>
        <v>940.44444444444434</v>
      </c>
      <c r="AN20" s="37">
        <f t="shared" si="13"/>
        <v>1067.1111111111109</v>
      </c>
      <c r="AO20" s="37">
        <f t="shared" si="13"/>
        <v>1201.7777777777776</v>
      </c>
      <c r="AP20" s="37">
        <f t="shared" si="13"/>
        <v>1344.4444444444443</v>
      </c>
      <c r="AQ20" s="37">
        <f t="shared" si="13"/>
        <v>1495.1111111111109</v>
      </c>
      <c r="AR20" s="37">
        <f t="shared" si="13"/>
        <v>1653.7777777777776</v>
      </c>
      <c r="AS20" s="37">
        <f t="shared" si="13"/>
        <v>1820.4444444444443</v>
      </c>
      <c r="AT20" s="37">
        <f t="shared" si="13"/>
        <v>1995.1111111111109</v>
      </c>
      <c r="AU20" s="37">
        <f t="shared" si="13"/>
        <v>2988.4444444444443</v>
      </c>
      <c r="AV20" s="37">
        <f t="shared" si="13"/>
        <v>4181.7777777777783</v>
      </c>
      <c r="AW20" s="37">
        <f t="shared" si="13"/>
        <v>5575.1111111111122</v>
      </c>
      <c r="AX20" s="37">
        <f t="shared" si="13"/>
        <v>7168.4444444444453</v>
      </c>
      <c r="AY20" s="37">
        <f t="shared" si="13"/>
        <v>8961.7777777777792</v>
      </c>
      <c r="AZ20" s="37">
        <f t="shared" si="13"/>
        <v>10955.111111111111</v>
      </c>
      <c r="BA20" s="26" t="s">
        <v>40</v>
      </c>
    </row>
    <row r="21" spans="1:53" x14ac:dyDescent="0.2">
      <c r="E21" s="28" t="e">
        <f t="shared" si="2"/>
        <v>#NUM!</v>
      </c>
      <c r="F21" s="28" t="e">
        <f t="shared" si="3"/>
        <v>#DIV/0!</v>
      </c>
      <c r="J21" s="26">
        <v>1</v>
      </c>
      <c r="K21" s="26">
        <v>2.5</v>
      </c>
      <c r="L21" s="26">
        <v>3.5</v>
      </c>
      <c r="M21" s="28">
        <f t="shared" si="11"/>
        <v>0.54065743944636668</v>
      </c>
    </row>
    <row r="22" spans="1:53" x14ac:dyDescent="0.2">
      <c r="E22" s="28" t="e">
        <f t="shared" si="2"/>
        <v>#NUM!</v>
      </c>
      <c r="F22" s="28" t="e">
        <f t="shared" si="3"/>
        <v>#DIV/0!</v>
      </c>
      <c r="J22" s="26">
        <v>1</v>
      </c>
      <c r="K22" s="26">
        <v>2.8</v>
      </c>
      <c r="L22" s="26">
        <v>6</v>
      </c>
      <c r="M22" s="28">
        <f t="shared" si="11"/>
        <v>5.5363321799307963</v>
      </c>
      <c r="Q22" s="36" t="s">
        <v>27</v>
      </c>
      <c r="R22" s="38">
        <f>SUMPRODUCT(Q17:AZ17,Q19:AZ19)/P18</f>
        <v>15.333333333333334</v>
      </c>
      <c r="S22" s="36" t="s">
        <v>30</v>
      </c>
      <c r="T22" s="36"/>
      <c r="U22" s="36"/>
    </row>
    <row r="23" spans="1:53" x14ac:dyDescent="0.2">
      <c r="E23" s="28" t="e">
        <f t="shared" si="2"/>
        <v>#NUM!</v>
      </c>
      <c r="F23" s="28" t="e">
        <f t="shared" si="3"/>
        <v>#DIV/0!</v>
      </c>
      <c r="J23" s="26">
        <v>1</v>
      </c>
      <c r="K23" s="26">
        <v>2.5</v>
      </c>
      <c r="L23" s="26">
        <v>4.8</v>
      </c>
      <c r="M23" s="28">
        <f t="shared" si="11"/>
        <v>2.8600778546712795</v>
      </c>
      <c r="Q23" s="36" t="s">
        <v>28</v>
      </c>
      <c r="R23" s="38">
        <f>SUMPRODUCT(Q19:AZ19,Q20:AZ20)/P18</f>
        <v>22.222222222222218</v>
      </c>
      <c r="S23" s="36" t="s">
        <v>30</v>
      </c>
      <c r="T23" s="36"/>
      <c r="U23" s="36"/>
    </row>
    <row r="24" spans="1:53" x14ac:dyDescent="0.2">
      <c r="E24" s="28" t="e">
        <f t="shared" si="2"/>
        <v>#NUM!</v>
      </c>
      <c r="F24" s="28" t="e">
        <f t="shared" si="3"/>
        <v>#DIV/0!</v>
      </c>
      <c r="J24" s="26">
        <v>1</v>
      </c>
      <c r="K24" s="26">
        <v>2.5</v>
      </c>
      <c r="L24" s="26">
        <v>2.9</v>
      </c>
      <c r="M24" s="28">
        <f t="shared" si="11"/>
        <v>8.6505190311418623E-2</v>
      </c>
    </row>
    <row r="25" spans="1:53" x14ac:dyDescent="0.2">
      <c r="E25" s="28" t="e">
        <f t="shared" si="2"/>
        <v>#NUM!</v>
      </c>
      <c r="F25" s="28" t="e">
        <f t="shared" si="3"/>
        <v>#DIV/0!</v>
      </c>
      <c r="J25" s="26">
        <v>1</v>
      </c>
      <c r="M25" s="28">
        <f t="shared" si="11"/>
        <v>0</v>
      </c>
    </row>
    <row r="26" spans="1:53" x14ac:dyDescent="0.2">
      <c r="E26" s="28" t="e">
        <f t="shared" si="2"/>
        <v>#NUM!</v>
      </c>
      <c r="F26" s="28" t="e">
        <f t="shared" si="3"/>
        <v>#DIV/0!</v>
      </c>
      <c r="J26" s="26">
        <v>1</v>
      </c>
      <c r="M26" s="28">
        <f t="shared" si="11"/>
        <v>0</v>
      </c>
    </row>
    <row r="27" spans="1:53" x14ac:dyDescent="0.2">
      <c r="E27" s="28" t="e">
        <f t="shared" si="2"/>
        <v>#NUM!</v>
      </c>
      <c r="F27" s="28" t="e">
        <f t="shared" si="3"/>
        <v>#DIV/0!</v>
      </c>
      <c r="J27" s="26">
        <v>1</v>
      </c>
      <c r="M27" s="28">
        <f t="shared" si="11"/>
        <v>0</v>
      </c>
      <c r="P27" s="26" t="s">
        <v>126</v>
      </c>
    </row>
    <row r="28" spans="1:53" ht="71.25" x14ac:dyDescent="0.2">
      <c r="E28" s="28" t="e">
        <f t="shared" si="2"/>
        <v>#NUM!</v>
      </c>
      <c r="F28" s="28" t="e">
        <f t="shared" si="3"/>
        <v>#DIV/0!</v>
      </c>
      <c r="P28" s="34" t="s">
        <v>37</v>
      </c>
      <c r="Q28" s="34">
        <v>0.2</v>
      </c>
      <c r="R28" s="39">
        <v>0.4</v>
      </c>
      <c r="S28" s="39">
        <f>R28+0.2</f>
        <v>0.60000000000000009</v>
      </c>
      <c r="T28" s="39">
        <f t="shared" ref="T28:AA28" si="14">S28+0.2</f>
        <v>0.8</v>
      </c>
      <c r="U28" s="39">
        <f t="shared" si="14"/>
        <v>1</v>
      </c>
      <c r="V28" s="39">
        <f t="shared" si="14"/>
        <v>1.2</v>
      </c>
      <c r="W28" s="39">
        <f t="shared" si="14"/>
        <v>1.4</v>
      </c>
      <c r="X28" s="39">
        <f t="shared" si="14"/>
        <v>1.5999999999999999</v>
      </c>
      <c r="Y28" s="39">
        <f t="shared" si="14"/>
        <v>1.7999999999999998</v>
      </c>
      <c r="Z28" s="39">
        <f t="shared" si="14"/>
        <v>1.9999999999999998</v>
      </c>
      <c r="AA28" s="39">
        <f t="shared" si="14"/>
        <v>2.1999999999999997</v>
      </c>
      <c r="AB28" s="39">
        <f>AA28+0.2</f>
        <v>2.4</v>
      </c>
      <c r="AC28" s="39">
        <f t="shared" ref="AC28:AY28" si="15">AB28+0.2</f>
        <v>2.6</v>
      </c>
      <c r="AD28" s="39">
        <f t="shared" si="15"/>
        <v>2.8000000000000003</v>
      </c>
      <c r="AE28" s="39">
        <f t="shared" si="15"/>
        <v>3.0000000000000004</v>
      </c>
      <c r="AF28" s="39">
        <f t="shared" si="15"/>
        <v>3.2000000000000006</v>
      </c>
      <c r="AG28" s="39">
        <f t="shared" si="15"/>
        <v>3.4000000000000008</v>
      </c>
      <c r="AH28" s="39">
        <f t="shared" si="15"/>
        <v>3.600000000000001</v>
      </c>
      <c r="AI28" s="39">
        <f t="shared" si="15"/>
        <v>3.8000000000000012</v>
      </c>
      <c r="AJ28" s="39">
        <f t="shared" si="15"/>
        <v>4.0000000000000009</v>
      </c>
      <c r="AK28" s="39">
        <f t="shared" si="15"/>
        <v>4.2000000000000011</v>
      </c>
      <c r="AL28" s="39">
        <f t="shared" si="15"/>
        <v>4.4000000000000012</v>
      </c>
      <c r="AM28" s="39">
        <f t="shared" si="15"/>
        <v>4.6000000000000014</v>
      </c>
      <c r="AN28" s="39">
        <f t="shared" si="15"/>
        <v>4.8000000000000016</v>
      </c>
      <c r="AO28" s="39">
        <f t="shared" si="15"/>
        <v>5.0000000000000018</v>
      </c>
      <c r="AP28" s="39">
        <f t="shared" si="15"/>
        <v>5.200000000000002</v>
      </c>
      <c r="AQ28" s="39">
        <f t="shared" si="15"/>
        <v>5.4000000000000021</v>
      </c>
      <c r="AR28" s="39">
        <f t="shared" si="15"/>
        <v>5.6000000000000023</v>
      </c>
      <c r="AS28" s="39">
        <f t="shared" si="15"/>
        <v>5.8000000000000025</v>
      </c>
      <c r="AT28" s="39">
        <f t="shared" si="15"/>
        <v>6.0000000000000027</v>
      </c>
      <c r="AU28" s="39">
        <f t="shared" si="15"/>
        <v>6.2000000000000028</v>
      </c>
      <c r="AV28" s="39">
        <f t="shared" si="15"/>
        <v>6.400000000000003</v>
      </c>
      <c r="AW28" s="39">
        <f t="shared" si="15"/>
        <v>6.6000000000000032</v>
      </c>
      <c r="AX28" s="39">
        <f t="shared" si="15"/>
        <v>6.8000000000000034</v>
      </c>
      <c r="AY28" s="39">
        <f t="shared" si="15"/>
        <v>7.0000000000000036</v>
      </c>
    </row>
    <row r="29" spans="1:53" x14ac:dyDescent="0.2">
      <c r="E29" s="28" t="e">
        <f t="shared" si="2"/>
        <v>#NUM!</v>
      </c>
      <c r="F29" s="28" t="e">
        <f t="shared" si="3"/>
        <v>#DIV/0!</v>
      </c>
      <c r="P29" s="26">
        <f>AX29</f>
        <v>27</v>
      </c>
      <c r="Q29" s="26">
        <v>3</v>
      </c>
      <c r="R29" s="26">
        <f>Q29+0</f>
        <v>3</v>
      </c>
      <c r="S29" s="26">
        <f t="shared" ref="S29:AY29" si="16">R29+0</f>
        <v>3</v>
      </c>
      <c r="T29" s="26">
        <f t="shared" si="16"/>
        <v>3</v>
      </c>
      <c r="U29" s="26">
        <f>T29+1</f>
        <v>4</v>
      </c>
      <c r="V29" s="26">
        <f t="shared" si="16"/>
        <v>4</v>
      </c>
      <c r="W29" s="26">
        <f t="shared" si="16"/>
        <v>4</v>
      </c>
      <c r="X29" s="26">
        <f>W29+1</f>
        <v>5</v>
      </c>
      <c r="Y29" s="26">
        <f t="shared" si="16"/>
        <v>5</v>
      </c>
      <c r="Z29" s="26">
        <f t="shared" si="16"/>
        <v>5</v>
      </c>
      <c r="AA29" s="26">
        <f>Z29+3</f>
        <v>8</v>
      </c>
      <c r="AB29" s="26">
        <f>AA29+1</f>
        <v>9</v>
      </c>
      <c r="AC29" s="26">
        <f>AB29+1</f>
        <v>10</v>
      </c>
      <c r="AD29" s="26">
        <f t="shared" si="16"/>
        <v>10</v>
      </c>
      <c r="AE29" s="26">
        <f>AD29+1</f>
        <v>11</v>
      </c>
      <c r="AF29" s="26">
        <f>AE29+5</f>
        <v>16</v>
      </c>
      <c r="AG29" s="26">
        <f>AF29+5</f>
        <v>21</v>
      </c>
      <c r="AH29" s="26">
        <f>AG29+1</f>
        <v>22</v>
      </c>
      <c r="AI29" s="26">
        <f>AH29+1</f>
        <v>23</v>
      </c>
      <c r="AJ29" s="26">
        <f>AI29+0</f>
        <v>23</v>
      </c>
      <c r="AK29" s="26">
        <f>AJ29+4</f>
        <v>27</v>
      </c>
      <c r="AL29" s="26">
        <f t="shared" si="16"/>
        <v>27</v>
      </c>
      <c r="AM29" s="26">
        <f t="shared" si="16"/>
        <v>27</v>
      </c>
      <c r="AN29" s="26">
        <f t="shared" si="16"/>
        <v>27</v>
      </c>
      <c r="AO29" s="26">
        <f t="shared" si="16"/>
        <v>27</v>
      </c>
      <c r="AP29" s="26">
        <f t="shared" si="16"/>
        <v>27</v>
      </c>
      <c r="AQ29" s="26">
        <f t="shared" si="16"/>
        <v>27</v>
      </c>
      <c r="AR29" s="26">
        <f t="shared" si="16"/>
        <v>27</v>
      </c>
      <c r="AS29" s="26">
        <f t="shared" si="16"/>
        <v>27</v>
      </c>
      <c r="AT29" s="26">
        <f t="shared" si="16"/>
        <v>27</v>
      </c>
      <c r="AU29" s="26">
        <f t="shared" si="16"/>
        <v>27</v>
      </c>
      <c r="AV29" s="26">
        <f t="shared" si="16"/>
        <v>27</v>
      </c>
      <c r="AW29" s="26">
        <f t="shared" si="16"/>
        <v>27</v>
      </c>
      <c r="AX29" s="26">
        <f t="shared" si="16"/>
        <v>27</v>
      </c>
      <c r="AY29" s="26">
        <f t="shared" si="16"/>
        <v>27</v>
      </c>
    </row>
    <row r="30" spans="1:53" x14ac:dyDescent="0.2">
      <c r="E30" s="28" t="e">
        <f t="shared" si="2"/>
        <v>#NUM!</v>
      </c>
      <c r="F30" s="28" t="e">
        <f t="shared" si="3"/>
        <v>#DIV/0!</v>
      </c>
      <c r="Q30" s="26">
        <f>Q29</f>
        <v>3</v>
      </c>
      <c r="R30" s="26">
        <f>R29-Q29</f>
        <v>0</v>
      </c>
      <c r="S30" s="26">
        <f t="shared" ref="S30:AY30" si="17">S29-R29</f>
        <v>0</v>
      </c>
      <c r="T30" s="26">
        <f t="shared" si="17"/>
        <v>0</v>
      </c>
      <c r="U30" s="26">
        <f t="shared" si="17"/>
        <v>1</v>
      </c>
      <c r="V30" s="26">
        <f t="shared" si="17"/>
        <v>0</v>
      </c>
      <c r="W30" s="26">
        <f t="shared" si="17"/>
        <v>0</v>
      </c>
      <c r="X30" s="26">
        <f t="shared" si="17"/>
        <v>1</v>
      </c>
      <c r="Y30" s="26">
        <f t="shared" si="17"/>
        <v>0</v>
      </c>
      <c r="Z30" s="26">
        <f t="shared" si="17"/>
        <v>0</v>
      </c>
      <c r="AA30" s="26">
        <f t="shared" si="17"/>
        <v>3</v>
      </c>
      <c r="AB30" s="26">
        <f t="shared" si="17"/>
        <v>1</v>
      </c>
      <c r="AC30" s="26">
        <f t="shared" si="17"/>
        <v>1</v>
      </c>
      <c r="AD30" s="26">
        <f t="shared" si="17"/>
        <v>0</v>
      </c>
      <c r="AE30" s="26">
        <f t="shared" si="17"/>
        <v>1</v>
      </c>
      <c r="AF30" s="26">
        <f t="shared" si="17"/>
        <v>5</v>
      </c>
      <c r="AG30" s="26">
        <f t="shared" si="17"/>
        <v>5</v>
      </c>
      <c r="AH30" s="26">
        <f t="shared" si="17"/>
        <v>1</v>
      </c>
      <c r="AI30" s="26">
        <f t="shared" si="17"/>
        <v>1</v>
      </c>
      <c r="AJ30" s="26">
        <f t="shared" si="17"/>
        <v>0</v>
      </c>
      <c r="AK30" s="26">
        <f t="shared" si="17"/>
        <v>4</v>
      </c>
      <c r="AL30" s="26">
        <f t="shared" si="17"/>
        <v>0</v>
      </c>
      <c r="AM30" s="26">
        <f t="shared" si="17"/>
        <v>0</v>
      </c>
      <c r="AN30" s="26">
        <f t="shared" si="17"/>
        <v>0</v>
      </c>
      <c r="AO30" s="26">
        <f t="shared" si="17"/>
        <v>0</v>
      </c>
      <c r="AP30" s="26">
        <f t="shared" si="17"/>
        <v>0</v>
      </c>
      <c r="AQ30" s="26">
        <f t="shared" si="17"/>
        <v>0</v>
      </c>
      <c r="AR30" s="26">
        <f t="shared" si="17"/>
        <v>0</v>
      </c>
      <c r="AS30" s="26">
        <f t="shared" si="17"/>
        <v>0</v>
      </c>
      <c r="AT30" s="26">
        <f t="shared" si="17"/>
        <v>0</v>
      </c>
      <c r="AU30" s="26">
        <f t="shared" si="17"/>
        <v>0</v>
      </c>
      <c r="AV30" s="26">
        <f t="shared" si="17"/>
        <v>0</v>
      </c>
      <c r="AW30" s="26">
        <f t="shared" si="17"/>
        <v>0</v>
      </c>
      <c r="AX30" s="26">
        <f t="shared" si="17"/>
        <v>0</v>
      </c>
      <c r="AY30" s="26">
        <f t="shared" si="17"/>
        <v>0</v>
      </c>
      <c r="AZ30" s="26" t="s">
        <v>39</v>
      </c>
    </row>
    <row r="31" spans="1:53" x14ac:dyDescent="0.2">
      <c r="E31" s="28" t="e">
        <f t="shared" si="2"/>
        <v>#NUM!</v>
      </c>
      <c r="F31" s="28" t="e">
        <f t="shared" si="3"/>
        <v>#DIV/0!</v>
      </c>
      <c r="Q31" s="37">
        <f>(Q28-$R$33)^2</f>
        <v>6.6449382716049437</v>
      </c>
      <c r="R31" s="37">
        <f t="shared" ref="R31:AY31" si="18">(R28-$R$33)^2</f>
        <v>5.653827160493833</v>
      </c>
      <c r="S31" s="37">
        <f t="shared" si="18"/>
        <v>4.7427160493827207</v>
      </c>
      <c r="T31" s="37">
        <f t="shared" si="18"/>
        <v>3.9116049382716098</v>
      </c>
      <c r="U31" s="37">
        <f t="shared" si="18"/>
        <v>3.1604938271604981</v>
      </c>
      <c r="V31" s="37">
        <f t="shared" si="18"/>
        <v>2.4893827160493869</v>
      </c>
      <c r="W31" s="37">
        <f t="shared" si="18"/>
        <v>1.8982716049382753</v>
      </c>
      <c r="X31" s="37">
        <f t="shared" si="18"/>
        <v>1.3871604938271638</v>
      </c>
      <c r="Y31" s="37">
        <f t="shared" si="18"/>
        <v>0.95604938271605211</v>
      </c>
      <c r="Z31" s="37">
        <f t="shared" si="18"/>
        <v>0.60493827160494051</v>
      </c>
      <c r="AA31" s="37">
        <f t="shared" si="18"/>
        <v>0.33382716049382888</v>
      </c>
      <c r="AB31" s="37">
        <f t="shared" si="18"/>
        <v>0.14271604938271704</v>
      </c>
      <c r="AC31" s="37">
        <f t="shared" si="18"/>
        <v>3.1604938271605348E-2</v>
      </c>
      <c r="AD31" s="37">
        <f t="shared" si="18"/>
        <v>4.9382716049378413E-4</v>
      </c>
      <c r="AE31" s="37">
        <f t="shared" si="18"/>
        <v>4.9382716049382366E-2</v>
      </c>
      <c r="AF31" s="37">
        <f t="shared" si="18"/>
        <v>0.1782716049382711</v>
      </c>
      <c r="AG31" s="37">
        <f t="shared" si="18"/>
        <v>0.38716049382715995</v>
      </c>
      <c r="AH31" s="37">
        <f t="shared" si="18"/>
        <v>0.67604938271604897</v>
      </c>
      <c r="AI31" s="37">
        <f t="shared" si="18"/>
        <v>1.044938271604938</v>
      </c>
      <c r="AJ31" s="37">
        <f t="shared" si="18"/>
        <v>1.4938271604938262</v>
      </c>
      <c r="AK31" s="37">
        <f t="shared" si="18"/>
        <v>2.0227160493827157</v>
      </c>
      <c r="AL31" s="37">
        <f t="shared" si="18"/>
        <v>2.6316049382716051</v>
      </c>
      <c r="AM31" s="37">
        <f t="shared" si="18"/>
        <v>3.3204938271604947</v>
      </c>
      <c r="AN31" s="37">
        <f t="shared" si="18"/>
        <v>4.0893827160493839</v>
      </c>
      <c r="AO31" s="37">
        <f t="shared" si="18"/>
        <v>4.938271604938274</v>
      </c>
      <c r="AP31" s="37">
        <f t="shared" si="18"/>
        <v>5.8671604938271642</v>
      </c>
      <c r="AQ31" s="37">
        <f t="shared" si="18"/>
        <v>6.8760493827160545</v>
      </c>
      <c r="AR31" s="37">
        <f t="shared" si="18"/>
        <v>7.9649382716049439</v>
      </c>
      <c r="AS31" s="37">
        <f t="shared" si="18"/>
        <v>9.1338271604938353</v>
      </c>
      <c r="AT31" s="37">
        <f t="shared" si="18"/>
        <v>10.382716049382726</v>
      </c>
      <c r="AU31" s="37">
        <f t="shared" si="18"/>
        <v>11.711604938271616</v>
      </c>
      <c r="AV31" s="37">
        <f t="shared" si="18"/>
        <v>13.120493827160507</v>
      </c>
      <c r="AW31" s="37">
        <f t="shared" si="18"/>
        <v>14.609382716049398</v>
      </c>
      <c r="AX31" s="37">
        <f t="shared" si="18"/>
        <v>16.178271604938285</v>
      </c>
      <c r="AY31" s="37">
        <f t="shared" si="18"/>
        <v>17.827160493827183</v>
      </c>
      <c r="AZ31" s="26" t="s">
        <v>40</v>
      </c>
    </row>
    <row r="32" spans="1:53" x14ac:dyDescent="0.2">
      <c r="E32" s="28" t="e">
        <f t="shared" si="2"/>
        <v>#NUM!</v>
      </c>
      <c r="F32" s="28" t="e">
        <f t="shared" si="3"/>
        <v>#DIV/0!</v>
      </c>
    </row>
    <row r="33" spans="5:22" x14ac:dyDescent="0.2">
      <c r="E33" s="28" t="e">
        <f t="shared" si="2"/>
        <v>#NUM!</v>
      </c>
      <c r="F33" s="28" t="e">
        <f t="shared" si="3"/>
        <v>#DIV/0!</v>
      </c>
      <c r="Q33" s="36" t="s">
        <v>27</v>
      </c>
      <c r="R33" s="38">
        <f>SUMPRODUCT(Q28:AY28,Q30:AY30)/P29</f>
        <v>2.777777777777779</v>
      </c>
      <c r="S33" s="36" t="s">
        <v>30</v>
      </c>
      <c r="T33" s="36"/>
      <c r="U33" s="36"/>
      <c r="V33" s="36"/>
    </row>
    <row r="34" spans="5:22" x14ac:dyDescent="0.2">
      <c r="E34" s="28" t="e">
        <f t="shared" si="2"/>
        <v>#NUM!</v>
      </c>
      <c r="F34" s="28" t="e">
        <f t="shared" si="3"/>
        <v>#DIV/0!</v>
      </c>
      <c r="Q34" s="36" t="s">
        <v>28</v>
      </c>
      <c r="R34" s="38">
        <f>SUMPRODUCT(Q30:AZ30,Q31:AZ31)/P29</f>
        <v>1.4202469135802478</v>
      </c>
      <c r="S34" s="36" t="s">
        <v>30</v>
      </c>
      <c r="T34" s="36"/>
      <c r="U34" s="36"/>
      <c r="V34" s="36"/>
    </row>
    <row r="35" spans="5:22" x14ac:dyDescent="0.2">
      <c r="E35" s="28" t="e">
        <f t="shared" si="2"/>
        <v>#NUM!</v>
      </c>
      <c r="F35" s="28" t="e">
        <f t="shared" si="3"/>
        <v>#DIV/0!</v>
      </c>
    </row>
    <row r="36" spans="5:22" x14ac:dyDescent="0.2">
      <c r="E36" s="28" t="e">
        <f t="shared" si="2"/>
        <v>#NUM!</v>
      </c>
      <c r="F36" s="28" t="e">
        <f t="shared" si="3"/>
        <v>#DIV/0!</v>
      </c>
    </row>
    <row r="37" spans="5:22" x14ac:dyDescent="0.2">
      <c r="E37" s="28" t="e">
        <f t="shared" si="2"/>
        <v>#NUM!</v>
      </c>
      <c r="F37" s="28" t="e">
        <f t="shared" si="3"/>
        <v>#DIV/0!</v>
      </c>
    </row>
    <row r="38" spans="5:22" x14ac:dyDescent="0.2">
      <c r="E38" s="28" t="e">
        <f t="shared" si="2"/>
        <v>#NUM!</v>
      </c>
      <c r="F38" s="28" t="e">
        <f t="shared" si="3"/>
        <v>#DIV/0!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1250"/>
  <sheetViews>
    <sheetView topLeftCell="F1" zoomScale="57" zoomScaleNormal="57" workbookViewId="0">
      <pane ySplit="1" topLeftCell="A1218" activePane="bottomLeft" state="frozen"/>
      <selection activeCell="W29" sqref="W29"/>
      <selection pane="bottomLeft" activeCell="V1250" sqref="V1250"/>
    </sheetView>
  </sheetViews>
  <sheetFormatPr defaultRowHeight="20.25" x14ac:dyDescent="0.3"/>
  <cols>
    <col min="1" max="1" width="9.140625" style="1" customWidth="1"/>
    <col min="2" max="2" width="9.140625" style="2"/>
    <col min="3" max="3" width="9.140625" style="68"/>
    <col min="4" max="6" width="10.85546875" style="2" customWidth="1"/>
    <col min="7" max="7" width="10.85546875" style="3" customWidth="1"/>
    <col min="8" max="8" width="12.7109375" style="2" customWidth="1"/>
    <col min="9" max="9" width="13.140625" style="3" customWidth="1"/>
    <col min="10" max="10" width="10.28515625" style="3" customWidth="1"/>
    <col min="11" max="11" width="10.28515625" style="4" customWidth="1"/>
    <col min="12" max="12" width="12.28515625" style="2" customWidth="1"/>
    <col min="13" max="13" width="12.28515625" style="5" customWidth="1"/>
    <col min="14" max="14" width="13.42578125" style="6" customWidth="1"/>
    <col min="15" max="15" width="13.5703125" style="17" customWidth="1"/>
    <col min="16" max="16" width="13.5703125" style="7" customWidth="1"/>
    <col min="17" max="17" width="11.28515625" style="84" customWidth="1"/>
    <col min="18" max="18" width="11.28515625" style="8" customWidth="1"/>
    <col min="19" max="19" width="10.28515625" style="8" customWidth="1"/>
    <col min="20" max="20" width="11.42578125" style="9" customWidth="1"/>
    <col min="21" max="21" width="10.5703125" style="9" customWidth="1"/>
    <col min="22" max="22" width="10.5703125" style="10" customWidth="1"/>
    <col min="23" max="23" width="13.5703125" style="10" customWidth="1"/>
    <col min="24" max="24" width="13.5703125" style="11" customWidth="1"/>
    <col min="25" max="25" width="10.140625" style="12" bestFit="1" customWidth="1"/>
    <col min="26" max="26" width="12.85546875" style="13" customWidth="1"/>
    <col min="27" max="27" width="9.140625" style="3"/>
    <col min="28" max="28" width="9.140625" style="2" customWidth="1"/>
    <col min="29" max="29" width="10.85546875" style="2" bestFit="1" customWidth="1"/>
    <col min="30" max="30" width="10.85546875" style="68" customWidth="1"/>
    <col min="31" max="31" width="11.140625" style="14" customWidth="1"/>
    <col min="32" max="34" width="11.140625" style="80" customWidth="1"/>
    <col min="35" max="35" width="51.7109375" style="15" customWidth="1"/>
    <col min="36" max="36" width="15.28515625" style="15" customWidth="1"/>
    <col min="37" max="37" width="9.140625" style="15"/>
    <col min="38" max="38" width="26" style="15" bestFit="1" customWidth="1"/>
    <col min="39" max="39" width="26.28515625" style="15" customWidth="1"/>
    <col min="40" max="16384" width="9.140625" style="16"/>
  </cols>
  <sheetData>
    <row r="1" spans="1:39" s="56" customFormat="1" ht="108" customHeight="1" x14ac:dyDescent="0.25">
      <c r="A1" s="40" t="s">
        <v>277</v>
      </c>
      <c r="B1" s="41" t="s">
        <v>194</v>
      </c>
      <c r="C1" s="88" t="s">
        <v>339</v>
      </c>
      <c r="D1" s="41" t="s">
        <v>48</v>
      </c>
      <c r="E1" s="41" t="s">
        <v>47</v>
      </c>
      <c r="F1" s="41" t="s">
        <v>105</v>
      </c>
      <c r="G1" s="42" t="s">
        <v>106</v>
      </c>
      <c r="H1" s="41" t="s">
        <v>44</v>
      </c>
      <c r="I1" s="42" t="s">
        <v>5</v>
      </c>
      <c r="J1" s="42" t="s">
        <v>205</v>
      </c>
      <c r="K1" s="43" t="s">
        <v>273</v>
      </c>
      <c r="L1" s="88" t="s">
        <v>0</v>
      </c>
      <c r="M1" s="44" t="s">
        <v>275</v>
      </c>
      <c r="N1" s="45" t="s">
        <v>276</v>
      </c>
      <c r="O1" s="46" t="s">
        <v>274</v>
      </c>
      <c r="P1" s="47" t="s">
        <v>107</v>
      </c>
      <c r="Q1" s="46" t="s">
        <v>560</v>
      </c>
      <c r="R1" s="48" t="s">
        <v>31</v>
      </c>
      <c r="S1" s="48" t="s">
        <v>6</v>
      </c>
      <c r="T1" s="49" t="s">
        <v>33</v>
      </c>
      <c r="U1" s="49" t="s">
        <v>7</v>
      </c>
      <c r="V1" s="50" t="s">
        <v>96</v>
      </c>
      <c r="W1" s="50" t="s">
        <v>108</v>
      </c>
      <c r="X1" s="51" t="s">
        <v>32</v>
      </c>
      <c r="Y1" s="52" t="s">
        <v>1</v>
      </c>
      <c r="Z1" s="53" t="s">
        <v>4</v>
      </c>
      <c r="AA1" s="42" t="s">
        <v>8</v>
      </c>
      <c r="AB1" s="41" t="s">
        <v>2</v>
      </c>
      <c r="AC1" s="41" t="s">
        <v>9</v>
      </c>
      <c r="AD1" s="88" t="s">
        <v>419</v>
      </c>
      <c r="AE1" s="54" t="s">
        <v>43</v>
      </c>
      <c r="AF1" s="89" t="s">
        <v>347</v>
      </c>
      <c r="AG1" s="89" t="s">
        <v>389</v>
      </c>
      <c r="AH1" s="89" t="s">
        <v>390</v>
      </c>
      <c r="AI1" s="55" t="s">
        <v>13</v>
      </c>
      <c r="AJ1" s="55" t="s">
        <v>10</v>
      </c>
      <c r="AK1" s="55" t="s">
        <v>11</v>
      </c>
      <c r="AL1" s="55" t="s">
        <v>14</v>
      </c>
      <c r="AM1" s="55" t="s">
        <v>12</v>
      </c>
    </row>
    <row r="2" spans="1:39" x14ac:dyDescent="0.3">
      <c r="A2" s="1">
        <v>29</v>
      </c>
      <c r="B2" s="2">
        <v>29</v>
      </c>
      <c r="D2" s="2">
        <v>3</v>
      </c>
      <c r="F2" s="2">
        <v>1</v>
      </c>
      <c r="G2" s="3">
        <v>5.8</v>
      </c>
      <c r="K2" s="4">
        <v>1</v>
      </c>
      <c r="L2" s="2">
        <v>18800</v>
      </c>
      <c r="N2" s="6">
        <v>5.8</v>
      </c>
      <c r="O2" s="17">
        <v>18800</v>
      </c>
      <c r="P2" s="7">
        <v>1</v>
      </c>
      <c r="Q2" s="84">
        <v>0</v>
      </c>
      <c r="R2" s="8">
        <v>4.5</v>
      </c>
      <c r="S2" s="8">
        <v>1.25</v>
      </c>
      <c r="V2" s="10">
        <v>0.48</v>
      </c>
      <c r="X2" s="11">
        <v>18856</v>
      </c>
      <c r="Y2" s="12">
        <f>5/29</f>
        <v>0.17241379310344829</v>
      </c>
      <c r="Z2" s="13">
        <v>4.4000000000000004</v>
      </c>
      <c r="AB2" s="2">
        <v>19.600000000000001</v>
      </c>
      <c r="AC2" s="2">
        <v>73</v>
      </c>
      <c r="AI2" s="15" t="s">
        <v>200</v>
      </c>
      <c r="AJ2" s="15" t="s">
        <v>178</v>
      </c>
      <c r="AK2" s="15">
        <v>2005</v>
      </c>
      <c r="AL2" s="15" t="s">
        <v>179</v>
      </c>
      <c r="AM2" s="15" t="s">
        <v>199</v>
      </c>
    </row>
    <row r="3" spans="1:39" x14ac:dyDescent="0.3">
      <c r="A3" s="1">
        <v>50</v>
      </c>
      <c r="B3" s="2">
        <v>46</v>
      </c>
      <c r="D3" s="2">
        <v>0</v>
      </c>
      <c r="F3" s="2">
        <v>1</v>
      </c>
      <c r="G3" s="3">
        <v>5.8</v>
      </c>
      <c r="K3" s="4">
        <v>1</v>
      </c>
      <c r="L3" s="2">
        <v>23360</v>
      </c>
      <c r="N3" s="6">
        <v>5.8</v>
      </c>
      <c r="O3" s="17">
        <v>23360</v>
      </c>
      <c r="P3" s="7">
        <v>1</v>
      </c>
      <c r="Q3" s="84">
        <v>0</v>
      </c>
      <c r="R3" s="8">
        <v>4.5</v>
      </c>
      <c r="S3" s="8">
        <v>1.25</v>
      </c>
      <c r="V3" s="10">
        <v>0.5</v>
      </c>
      <c r="X3" s="11">
        <v>23416</v>
      </c>
      <c r="Y3" s="12">
        <f>10/46</f>
        <v>0.21739130434782608</v>
      </c>
      <c r="Z3" s="13">
        <v>3.73</v>
      </c>
      <c r="AB3" s="2">
        <v>12.4</v>
      </c>
      <c r="AC3" s="2">
        <v>13.4</v>
      </c>
      <c r="AI3" s="15" t="s">
        <v>180</v>
      </c>
      <c r="AJ3" s="15" t="s">
        <v>178</v>
      </c>
      <c r="AK3" s="15">
        <v>2005</v>
      </c>
      <c r="AL3" s="15" t="s">
        <v>179</v>
      </c>
      <c r="AM3" s="15" t="s">
        <v>198</v>
      </c>
    </row>
    <row r="4" spans="1:39" x14ac:dyDescent="0.3">
      <c r="A4" s="1">
        <v>98</v>
      </c>
      <c r="B4" s="2">
        <v>103</v>
      </c>
      <c r="D4" s="2">
        <v>0</v>
      </c>
      <c r="F4" s="2">
        <v>1</v>
      </c>
      <c r="G4" s="3">
        <v>5.8</v>
      </c>
      <c r="K4" s="4">
        <v>1</v>
      </c>
      <c r="L4" s="2">
        <v>23360</v>
      </c>
      <c r="N4" s="6">
        <v>5.8</v>
      </c>
      <c r="O4" s="17">
        <v>23360</v>
      </c>
      <c r="P4" s="7">
        <v>0</v>
      </c>
      <c r="Q4" s="84">
        <v>0</v>
      </c>
      <c r="R4" s="8">
        <v>0.66</v>
      </c>
      <c r="S4" s="8">
        <v>0.63</v>
      </c>
      <c r="V4" s="10">
        <v>0.93</v>
      </c>
      <c r="X4" s="11">
        <v>23416</v>
      </c>
      <c r="Y4" s="12">
        <f>83/103</f>
        <v>0.80582524271844658</v>
      </c>
      <c r="Z4" s="13">
        <v>4.7</v>
      </c>
      <c r="AB4" s="2">
        <v>19.399999999999999</v>
      </c>
      <c r="AC4" s="2">
        <v>137</v>
      </c>
      <c r="AI4" s="15" t="s">
        <v>177</v>
      </c>
      <c r="AJ4" s="15" t="s">
        <v>178</v>
      </c>
      <c r="AK4" s="15">
        <v>2005</v>
      </c>
      <c r="AL4" s="15" t="s">
        <v>179</v>
      </c>
      <c r="AM4" s="15" t="s">
        <v>197</v>
      </c>
    </row>
    <row r="5" spans="1:39" x14ac:dyDescent="0.3">
      <c r="A5" s="1">
        <v>39</v>
      </c>
      <c r="B5" s="2">
        <v>39</v>
      </c>
      <c r="D5" s="2">
        <v>3</v>
      </c>
      <c r="F5" s="2">
        <v>1</v>
      </c>
      <c r="G5" s="3">
        <v>4</v>
      </c>
      <c r="K5" s="4">
        <v>3</v>
      </c>
      <c r="L5" s="2">
        <v>18800</v>
      </c>
      <c r="N5" s="6">
        <v>4</v>
      </c>
      <c r="O5" s="17">
        <v>18800</v>
      </c>
      <c r="P5" s="7">
        <v>1</v>
      </c>
      <c r="Q5" s="84">
        <v>0</v>
      </c>
      <c r="R5" s="8">
        <v>4.5</v>
      </c>
      <c r="S5" s="8">
        <v>1.25</v>
      </c>
      <c r="V5" s="10">
        <v>7.0000000000000007E-2</v>
      </c>
      <c r="X5" s="11">
        <v>18856</v>
      </c>
      <c r="Y5" s="12">
        <f>7/39</f>
        <v>0.17948717948717949</v>
      </c>
      <c r="Z5" s="13">
        <v>4.33</v>
      </c>
      <c r="AB5" s="2">
        <v>19.7</v>
      </c>
      <c r="AC5" s="2">
        <v>39</v>
      </c>
      <c r="AI5" s="15" t="s">
        <v>201</v>
      </c>
      <c r="AJ5" s="15" t="s">
        <v>178</v>
      </c>
      <c r="AK5" s="15">
        <v>2005</v>
      </c>
      <c r="AL5" s="15" t="s">
        <v>179</v>
      </c>
    </row>
    <row r="6" spans="1:39" x14ac:dyDescent="0.3">
      <c r="A6" s="1">
        <v>57</v>
      </c>
      <c r="B6" s="2">
        <v>44</v>
      </c>
      <c r="D6" s="2">
        <v>0</v>
      </c>
      <c r="F6" s="2">
        <v>1</v>
      </c>
      <c r="G6" s="3">
        <v>4</v>
      </c>
      <c r="K6" s="4">
        <v>3</v>
      </c>
      <c r="L6" s="2">
        <v>23360</v>
      </c>
      <c r="N6" s="6">
        <v>4</v>
      </c>
      <c r="O6" s="17">
        <v>23360</v>
      </c>
      <c r="P6" s="7">
        <v>1</v>
      </c>
      <c r="Q6" s="84">
        <v>0</v>
      </c>
      <c r="R6" s="8">
        <v>4.5</v>
      </c>
      <c r="S6" s="8">
        <v>1.25</v>
      </c>
      <c r="V6" s="10">
        <v>0.25</v>
      </c>
      <c r="X6" s="11">
        <v>23416</v>
      </c>
      <c r="Y6" s="12">
        <f>13/44</f>
        <v>0.29545454545454547</v>
      </c>
      <c r="Z6" s="13">
        <v>4.4800000000000004</v>
      </c>
      <c r="AB6" s="2">
        <v>16.5</v>
      </c>
      <c r="AC6" s="2">
        <v>142</v>
      </c>
      <c r="AI6" s="15" t="s">
        <v>189</v>
      </c>
      <c r="AJ6" s="15" t="s">
        <v>178</v>
      </c>
      <c r="AK6" s="15">
        <v>2005</v>
      </c>
      <c r="AL6" s="15" t="s">
        <v>179</v>
      </c>
      <c r="AM6" s="15" t="s">
        <v>190</v>
      </c>
    </row>
    <row r="7" spans="1:39" x14ac:dyDescent="0.3">
      <c r="A7" s="1">
        <v>103</v>
      </c>
      <c r="B7" s="2">
        <v>115</v>
      </c>
      <c r="D7" s="2">
        <v>0</v>
      </c>
      <c r="F7" s="2">
        <v>1</v>
      </c>
      <c r="G7" s="3">
        <v>4</v>
      </c>
      <c r="K7" s="4">
        <v>3</v>
      </c>
      <c r="L7" s="2">
        <v>23360</v>
      </c>
      <c r="N7" s="6">
        <v>4</v>
      </c>
      <c r="O7" s="17">
        <v>23360</v>
      </c>
      <c r="P7" s="7">
        <v>0</v>
      </c>
      <c r="Q7" s="84">
        <v>0</v>
      </c>
      <c r="R7" s="8">
        <v>0.67</v>
      </c>
      <c r="S7" s="8">
        <v>0.67</v>
      </c>
      <c r="V7" s="10">
        <v>0.73</v>
      </c>
      <c r="X7" s="11">
        <v>23416</v>
      </c>
      <c r="Y7" s="12">
        <f>86/115</f>
        <v>0.74782608695652175</v>
      </c>
      <c r="Z7" s="13">
        <v>3.79</v>
      </c>
      <c r="AB7" s="2">
        <v>30.2</v>
      </c>
      <c r="AC7" s="2">
        <v>304</v>
      </c>
      <c r="AI7" s="15" t="s">
        <v>188</v>
      </c>
      <c r="AJ7" s="15" t="s">
        <v>178</v>
      </c>
      <c r="AK7" s="15">
        <v>2005</v>
      </c>
      <c r="AL7" s="15" t="s">
        <v>179</v>
      </c>
      <c r="AM7" s="15" t="s">
        <v>195</v>
      </c>
    </row>
    <row r="8" spans="1:39" ht="15.75" customHeight="1" x14ac:dyDescent="0.3">
      <c r="A8" s="1">
        <v>10</v>
      </c>
      <c r="D8" s="2">
        <v>0</v>
      </c>
      <c r="F8" s="2">
        <v>0</v>
      </c>
      <c r="K8" s="4">
        <v>1</v>
      </c>
      <c r="L8" s="2">
        <v>60</v>
      </c>
      <c r="M8" s="5">
        <v>32</v>
      </c>
      <c r="AI8" s="81" t="s">
        <v>336</v>
      </c>
      <c r="AJ8" s="15" t="s">
        <v>58</v>
      </c>
      <c r="AK8" s="15">
        <v>1993</v>
      </c>
      <c r="AL8" s="15" t="s">
        <v>57</v>
      </c>
      <c r="AM8" s="15" t="s">
        <v>337</v>
      </c>
    </row>
    <row r="9" spans="1:39" x14ac:dyDescent="0.3">
      <c r="A9" s="1">
        <v>26</v>
      </c>
      <c r="B9" s="2">
        <v>26</v>
      </c>
      <c r="D9" s="2">
        <v>3</v>
      </c>
      <c r="E9" s="2">
        <v>40</v>
      </c>
      <c r="F9" s="2">
        <v>0</v>
      </c>
      <c r="K9" s="4">
        <v>1</v>
      </c>
      <c r="L9" s="2">
        <v>720</v>
      </c>
      <c r="N9" s="6">
        <v>6</v>
      </c>
      <c r="Y9" s="12">
        <f>8/26</f>
        <v>0.30769230769230771</v>
      </c>
      <c r="AE9" s="14">
        <f>3/8</f>
        <v>0.375</v>
      </c>
      <c r="AI9" s="81" t="s">
        <v>334</v>
      </c>
      <c r="AJ9" s="15" t="s">
        <v>58</v>
      </c>
      <c r="AK9" s="15">
        <v>1993</v>
      </c>
      <c r="AL9" s="15" t="s">
        <v>57</v>
      </c>
    </row>
    <row r="10" spans="1:39" x14ac:dyDescent="0.3">
      <c r="A10" s="1">
        <v>26</v>
      </c>
      <c r="B10" s="2">
        <v>26</v>
      </c>
      <c r="D10" s="2">
        <v>2</v>
      </c>
      <c r="E10" s="2">
        <v>40</v>
      </c>
      <c r="F10" s="2">
        <v>0</v>
      </c>
      <c r="K10" s="4">
        <v>1</v>
      </c>
      <c r="L10" s="2">
        <v>360</v>
      </c>
      <c r="N10" s="6">
        <v>6</v>
      </c>
      <c r="Y10" s="12">
        <f>20/26</f>
        <v>0.76923076923076927</v>
      </c>
      <c r="AE10" s="14">
        <f>12/20</f>
        <v>0.6</v>
      </c>
      <c r="AI10" s="81" t="s">
        <v>335</v>
      </c>
      <c r="AJ10" s="15" t="s">
        <v>58</v>
      </c>
      <c r="AK10" s="15">
        <v>1993</v>
      </c>
      <c r="AL10" s="15" t="s">
        <v>57</v>
      </c>
    </row>
    <row r="11" spans="1:39" x14ac:dyDescent="0.3">
      <c r="A11" s="1">
        <v>13</v>
      </c>
      <c r="B11" s="2">
        <v>13</v>
      </c>
      <c r="D11" s="2">
        <v>0</v>
      </c>
      <c r="F11" s="2">
        <v>0</v>
      </c>
      <c r="K11" s="4">
        <v>1</v>
      </c>
      <c r="L11" s="2">
        <v>60</v>
      </c>
      <c r="N11" s="6">
        <v>6</v>
      </c>
      <c r="Y11" s="12">
        <v>0.76900000000000002</v>
      </c>
      <c r="AE11" s="14">
        <v>0.4</v>
      </c>
      <c r="AI11" s="81" t="s">
        <v>331</v>
      </c>
      <c r="AJ11" s="15" t="s">
        <v>58</v>
      </c>
      <c r="AK11" s="15">
        <v>1993</v>
      </c>
      <c r="AL11" s="15" t="s">
        <v>57</v>
      </c>
    </row>
    <row r="12" spans="1:39" x14ac:dyDescent="0.3">
      <c r="A12" s="1">
        <v>6</v>
      </c>
      <c r="B12" s="2">
        <v>6</v>
      </c>
      <c r="D12" s="2">
        <v>0</v>
      </c>
      <c r="F12" s="2">
        <v>1</v>
      </c>
      <c r="G12" s="3">
        <v>6</v>
      </c>
      <c r="K12" s="4">
        <v>1</v>
      </c>
      <c r="L12" s="2">
        <v>120</v>
      </c>
      <c r="N12" s="6">
        <v>6</v>
      </c>
      <c r="Y12" s="12">
        <v>0.83299999999999996</v>
      </c>
      <c r="AE12" s="14">
        <v>0.2</v>
      </c>
      <c r="AI12" s="81" t="s">
        <v>332</v>
      </c>
      <c r="AJ12" s="15" t="s">
        <v>58</v>
      </c>
      <c r="AK12" s="15">
        <v>1993</v>
      </c>
      <c r="AL12" s="15" t="s">
        <v>57</v>
      </c>
    </row>
    <row r="13" spans="1:39" x14ac:dyDescent="0.3">
      <c r="A13" s="1">
        <v>6</v>
      </c>
      <c r="B13" s="68">
        <v>6</v>
      </c>
      <c r="D13" s="2">
        <v>0</v>
      </c>
      <c r="F13" s="2">
        <v>2</v>
      </c>
      <c r="G13" s="3">
        <v>6</v>
      </c>
      <c r="K13" s="4">
        <v>1</v>
      </c>
      <c r="L13" s="2">
        <v>540</v>
      </c>
      <c r="N13" s="6">
        <v>6</v>
      </c>
      <c r="Y13" s="12">
        <v>0.66700000000000004</v>
      </c>
      <c r="AE13" s="14">
        <v>0</v>
      </c>
      <c r="AI13" s="81" t="s">
        <v>333</v>
      </c>
      <c r="AJ13" s="15" t="s">
        <v>58</v>
      </c>
      <c r="AK13" s="15">
        <v>1993</v>
      </c>
      <c r="AL13" s="15" t="s">
        <v>57</v>
      </c>
    </row>
    <row r="14" spans="1:39" s="82" customFormat="1" x14ac:dyDescent="0.3">
      <c r="A14" s="67">
        <v>10</v>
      </c>
      <c r="B14" s="68"/>
      <c r="C14" s="68"/>
      <c r="D14" s="68">
        <v>0</v>
      </c>
      <c r="E14" s="68"/>
      <c r="F14" s="68">
        <v>0</v>
      </c>
      <c r="G14" s="69"/>
      <c r="H14" s="68"/>
      <c r="I14" s="69"/>
      <c r="J14" s="69"/>
      <c r="K14" s="70">
        <v>2</v>
      </c>
      <c r="L14" s="68">
        <v>60</v>
      </c>
      <c r="M14" s="71">
        <v>8</v>
      </c>
      <c r="N14" s="72"/>
      <c r="O14" s="84"/>
      <c r="P14" s="73"/>
      <c r="Q14" s="84"/>
      <c r="R14" s="74"/>
      <c r="S14" s="74"/>
      <c r="T14" s="75"/>
      <c r="U14" s="75"/>
      <c r="V14" s="76"/>
      <c r="W14" s="76"/>
      <c r="X14" s="77"/>
      <c r="Y14" s="78"/>
      <c r="Z14" s="79"/>
      <c r="AA14" s="69"/>
      <c r="AB14" s="68"/>
      <c r="AC14" s="68"/>
      <c r="AD14" s="68"/>
      <c r="AE14" s="80"/>
      <c r="AF14" s="80"/>
      <c r="AG14" s="80"/>
      <c r="AH14" s="80"/>
      <c r="AI14" s="81" t="s">
        <v>336</v>
      </c>
      <c r="AJ14" s="81" t="s">
        <v>58</v>
      </c>
      <c r="AK14" s="81">
        <v>1993</v>
      </c>
      <c r="AL14" s="81" t="s">
        <v>57</v>
      </c>
      <c r="AM14" s="81" t="s">
        <v>337</v>
      </c>
    </row>
    <row r="15" spans="1:39" s="82" customFormat="1" x14ac:dyDescent="0.3">
      <c r="A15" s="67">
        <v>26</v>
      </c>
      <c r="B15" s="68">
        <v>26</v>
      </c>
      <c r="C15" s="68"/>
      <c r="D15" s="68">
        <v>3</v>
      </c>
      <c r="E15" s="68">
        <v>8</v>
      </c>
      <c r="F15" s="68">
        <v>0</v>
      </c>
      <c r="G15" s="69"/>
      <c r="H15" s="68"/>
      <c r="I15" s="69"/>
      <c r="J15" s="69"/>
      <c r="K15" s="70">
        <v>2</v>
      </c>
      <c r="L15" s="68">
        <v>720</v>
      </c>
      <c r="M15" s="71"/>
      <c r="N15" s="72">
        <v>5</v>
      </c>
      <c r="O15" s="84"/>
      <c r="P15" s="73"/>
      <c r="Q15" s="84"/>
      <c r="R15" s="74"/>
      <c r="S15" s="74"/>
      <c r="T15" s="75"/>
      <c r="U15" s="75"/>
      <c r="V15" s="76"/>
      <c r="W15" s="76"/>
      <c r="X15" s="77"/>
      <c r="Y15" s="78">
        <f>8/26</f>
        <v>0.30769230769230771</v>
      </c>
      <c r="Z15" s="79"/>
      <c r="AA15" s="69"/>
      <c r="AB15" s="68"/>
      <c r="AC15" s="68"/>
      <c r="AD15" s="68"/>
      <c r="AE15" s="80">
        <f>5/8</f>
        <v>0.625</v>
      </c>
      <c r="AF15" s="80"/>
      <c r="AG15" s="80"/>
      <c r="AH15" s="80"/>
      <c r="AI15" s="81" t="s">
        <v>334</v>
      </c>
      <c r="AJ15" s="81" t="s">
        <v>58</v>
      </c>
      <c r="AK15" s="81">
        <v>1993</v>
      </c>
      <c r="AL15" s="81" t="s">
        <v>57</v>
      </c>
      <c r="AM15" s="81"/>
    </row>
    <row r="16" spans="1:39" s="82" customFormat="1" x14ac:dyDescent="0.3">
      <c r="A16" s="67">
        <v>26</v>
      </c>
      <c r="B16" s="68">
        <v>26</v>
      </c>
      <c r="C16" s="68"/>
      <c r="D16" s="68">
        <v>2</v>
      </c>
      <c r="E16" s="68">
        <v>8</v>
      </c>
      <c r="F16" s="68">
        <v>0</v>
      </c>
      <c r="G16" s="69"/>
      <c r="H16" s="68"/>
      <c r="I16" s="69"/>
      <c r="J16" s="69"/>
      <c r="K16" s="70">
        <v>2</v>
      </c>
      <c r="L16" s="68">
        <v>360</v>
      </c>
      <c r="M16" s="71"/>
      <c r="N16" s="72">
        <v>5</v>
      </c>
      <c r="O16" s="84"/>
      <c r="P16" s="73"/>
      <c r="Q16" s="84"/>
      <c r="R16" s="74"/>
      <c r="S16" s="74"/>
      <c r="T16" s="75"/>
      <c r="U16" s="75"/>
      <c r="V16" s="76"/>
      <c r="W16" s="76"/>
      <c r="X16" s="77"/>
      <c r="Y16" s="78">
        <f>9/26</f>
        <v>0.34615384615384615</v>
      </c>
      <c r="Z16" s="79"/>
      <c r="AA16" s="69"/>
      <c r="AB16" s="68"/>
      <c r="AC16" s="68"/>
      <c r="AD16" s="68"/>
      <c r="AE16" s="80">
        <f>8/9</f>
        <v>0.88888888888888884</v>
      </c>
      <c r="AF16" s="80"/>
      <c r="AG16" s="80"/>
      <c r="AH16" s="80"/>
      <c r="AI16" s="81" t="s">
        <v>335</v>
      </c>
      <c r="AJ16" s="81" t="s">
        <v>58</v>
      </c>
      <c r="AK16" s="81">
        <v>1993</v>
      </c>
      <c r="AL16" s="81" t="s">
        <v>57</v>
      </c>
      <c r="AM16" s="81"/>
    </row>
    <row r="17" spans="1:39" x14ac:dyDescent="0.3">
      <c r="A17" s="1">
        <v>13</v>
      </c>
      <c r="B17" s="2">
        <v>13</v>
      </c>
      <c r="D17" s="2">
        <v>0</v>
      </c>
      <c r="F17" s="2">
        <v>0</v>
      </c>
      <c r="K17" s="4">
        <v>2</v>
      </c>
      <c r="L17" s="2">
        <v>60</v>
      </c>
      <c r="N17" s="6">
        <v>5</v>
      </c>
      <c r="Y17" s="12">
        <v>0.38500000000000001</v>
      </c>
      <c r="AE17" s="14">
        <v>0.8</v>
      </c>
      <c r="AI17" s="81" t="s">
        <v>331</v>
      </c>
      <c r="AJ17" s="15" t="s">
        <v>58</v>
      </c>
      <c r="AK17" s="15">
        <v>1993</v>
      </c>
      <c r="AL17" s="15" t="s">
        <v>57</v>
      </c>
    </row>
    <row r="18" spans="1:39" x14ac:dyDescent="0.3">
      <c r="A18" s="1">
        <v>6</v>
      </c>
      <c r="B18" s="2">
        <v>6</v>
      </c>
      <c r="D18" s="2">
        <v>0</v>
      </c>
      <c r="F18" s="2">
        <v>1</v>
      </c>
      <c r="G18" s="3">
        <v>5</v>
      </c>
      <c r="K18" s="4">
        <v>2</v>
      </c>
      <c r="L18" s="2">
        <v>120</v>
      </c>
      <c r="N18" s="6">
        <v>5</v>
      </c>
      <c r="Y18" s="12">
        <v>0.33300000000000002</v>
      </c>
      <c r="AE18" s="14">
        <v>0.5</v>
      </c>
      <c r="AI18" s="81" t="s">
        <v>332</v>
      </c>
      <c r="AJ18" s="15" t="s">
        <v>58</v>
      </c>
      <c r="AK18" s="15">
        <v>1993</v>
      </c>
      <c r="AL18" s="15" t="s">
        <v>57</v>
      </c>
    </row>
    <row r="19" spans="1:39" x14ac:dyDescent="0.3">
      <c r="A19" s="1">
        <v>6</v>
      </c>
      <c r="B19" s="2">
        <v>6</v>
      </c>
      <c r="D19" s="2">
        <v>0</v>
      </c>
      <c r="F19" s="2">
        <v>2</v>
      </c>
      <c r="G19" s="3">
        <v>5</v>
      </c>
      <c r="K19" s="4">
        <v>2</v>
      </c>
      <c r="L19" s="2">
        <v>540</v>
      </c>
      <c r="N19" s="6">
        <v>5</v>
      </c>
      <c r="Y19" s="12">
        <v>0.16700000000000001</v>
      </c>
      <c r="AE19" s="14">
        <v>0</v>
      </c>
      <c r="AI19" s="81" t="s">
        <v>333</v>
      </c>
      <c r="AJ19" s="15" t="s">
        <v>58</v>
      </c>
      <c r="AK19" s="15">
        <v>1993</v>
      </c>
      <c r="AL19" s="15" t="s">
        <v>57</v>
      </c>
    </row>
    <row r="20" spans="1:39" x14ac:dyDescent="0.3">
      <c r="A20" s="1">
        <v>10</v>
      </c>
      <c r="B20" s="83"/>
      <c r="C20" s="83"/>
      <c r="D20" s="2">
        <v>0</v>
      </c>
      <c r="F20" s="2">
        <v>0</v>
      </c>
      <c r="K20" s="4">
        <v>3</v>
      </c>
      <c r="L20" s="2">
        <v>60</v>
      </c>
      <c r="M20" s="5">
        <v>40</v>
      </c>
      <c r="AI20" s="81" t="s">
        <v>336</v>
      </c>
      <c r="AJ20" s="15" t="s">
        <v>58</v>
      </c>
      <c r="AK20" s="15">
        <v>1993</v>
      </c>
      <c r="AL20" s="15" t="s">
        <v>57</v>
      </c>
      <c r="AM20" s="15" t="s">
        <v>337</v>
      </c>
    </row>
    <row r="21" spans="1:39" x14ac:dyDescent="0.3">
      <c r="A21" s="1">
        <v>26</v>
      </c>
      <c r="B21" s="2">
        <v>26</v>
      </c>
      <c r="D21" s="2">
        <v>3</v>
      </c>
      <c r="E21" s="2">
        <v>32</v>
      </c>
      <c r="F21" s="2">
        <v>0</v>
      </c>
      <c r="K21" s="4">
        <v>3</v>
      </c>
      <c r="L21" s="2">
        <v>720</v>
      </c>
      <c r="N21" s="6">
        <v>5.7</v>
      </c>
      <c r="Y21" s="12">
        <f>18/26</f>
        <v>0.69230769230769229</v>
      </c>
      <c r="AE21" s="14">
        <v>1</v>
      </c>
      <c r="AI21" s="81" t="s">
        <v>334</v>
      </c>
      <c r="AJ21" s="15" t="s">
        <v>58</v>
      </c>
      <c r="AK21" s="15">
        <v>1993</v>
      </c>
      <c r="AL21" s="15" t="s">
        <v>57</v>
      </c>
    </row>
    <row r="22" spans="1:39" x14ac:dyDescent="0.3">
      <c r="A22" s="1">
        <v>26</v>
      </c>
      <c r="B22" s="83">
        <v>26</v>
      </c>
      <c r="C22" s="83"/>
      <c r="D22" s="2">
        <v>2</v>
      </c>
      <c r="E22" s="2">
        <v>32</v>
      </c>
      <c r="F22" s="2">
        <v>0</v>
      </c>
      <c r="K22" s="4">
        <v>3</v>
      </c>
      <c r="L22" s="2">
        <v>360</v>
      </c>
      <c r="N22" s="6">
        <v>5.7</v>
      </c>
      <c r="Y22" s="12">
        <f>16/26</f>
        <v>0.61538461538461542</v>
      </c>
      <c r="AE22" s="14">
        <v>1</v>
      </c>
      <c r="AI22" s="81" t="s">
        <v>335</v>
      </c>
      <c r="AJ22" s="15" t="s">
        <v>58</v>
      </c>
      <c r="AK22" s="15">
        <v>1993</v>
      </c>
      <c r="AL22" s="15" t="s">
        <v>57</v>
      </c>
    </row>
    <row r="23" spans="1:39" x14ac:dyDescent="0.3">
      <c r="A23" s="1">
        <v>13</v>
      </c>
      <c r="B23" s="2">
        <v>13</v>
      </c>
      <c r="D23" s="2">
        <v>0</v>
      </c>
      <c r="F23" s="2">
        <v>0</v>
      </c>
      <c r="K23" s="4">
        <v>3</v>
      </c>
      <c r="L23" s="2">
        <v>60</v>
      </c>
      <c r="N23" s="6">
        <v>5.5</v>
      </c>
      <c r="Y23" s="12">
        <v>0.154</v>
      </c>
      <c r="AE23" s="14">
        <v>0</v>
      </c>
      <c r="AI23" s="81" t="s">
        <v>331</v>
      </c>
      <c r="AJ23" s="15" t="s">
        <v>58</v>
      </c>
      <c r="AK23" s="15">
        <v>1993</v>
      </c>
      <c r="AL23" s="15" t="s">
        <v>57</v>
      </c>
    </row>
    <row r="24" spans="1:39" x14ac:dyDescent="0.3">
      <c r="A24" s="1">
        <v>6</v>
      </c>
      <c r="B24" s="2">
        <v>6</v>
      </c>
      <c r="D24" s="2">
        <v>0</v>
      </c>
      <c r="F24" s="2">
        <v>1</v>
      </c>
      <c r="G24" s="3">
        <v>5.5</v>
      </c>
      <c r="K24" s="4">
        <v>3</v>
      </c>
      <c r="L24" s="2">
        <v>120</v>
      </c>
      <c r="N24" s="6">
        <v>5.5</v>
      </c>
      <c r="Y24" s="12">
        <v>0</v>
      </c>
      <c r="AE24" s="14">
        <v>0</v>
      </c>
      <c r="AI24" s="81" t="s">
        <v>332</v>
      </c>
      <c r="AJ24" s="15" t="s">
        <v>58</v>
      </c>
      <c r="AK24" s="15">
        <v>1993</v>
      </c>
      <c r="AL24" s="15" t="s">
        <v>57</v>
      </c>
    </row>
    <row r="25" spans="1:39" x14ac:dyDescent="0.3">
      <c r="A25" s="1">
        <v>6</v>
      </c>
      <c r="B25" s="2">
        <v>6</v>
      </c>
      <c r="D25" s="2">
        <v>0</v>
      </c>
      <c r="F25" s="2">
        <v>2</v>
      </c>
      <c r="G25" s="3">
        <v>5.5</v>
      </c>
      <c r="K25" s="4">
        <v>3</v>
      </c>
      <c r="L25" s="2">
        <v>540</v>
      </c>
      <c r="N25" s="6">
        <v>5.5</v>
      </c>
      <c r="Y25" s="12">
        <v>0</v>
      </c>
      <c r="AE25" s="14">
        <v>0</v>
      </c>
      <c r="AI25" s="81" t="s">
        <v>333</v>
      </c>
      <c r="AJ25" s="15" t="s">
        <v>58</v>
      </c>
      <c r="AK25" s="15">
        <v>1993</v>
      </c>
      <c r="AL25" s="15" t="s">
        <v>57</v>
      </c>
    </row>
    <row r="26" spans="1:39" x14ac:dyDescent="0.3">
      <c r="A26" s="1">
        <v>139</v>
      </c>
      <c r="D26" s="2">
        <v>2</v>
      </c>
      <c r="E26" s="2">
        <v>40</v>
      </c>
      <c r="F26" s="2">
        <v>0</v>
      </c>
      <c r="K26" s="4">
        <v>1</v>
      </c>
      <c r="L26" s="2">
        <v>180</v>
      </c>
      <c r="M26" s="5">
        <v>40</v>
      </c>
      <c r="O26" s="17">
        <v>180</v>
      </c>
      <c r="P26" s="7">
        <f>147/149</f>
        <v>0.98657718120805371</v>
      </c>
      <c r="Q26" s="84">
        <v>0</v>
      </c>
      <c r="R26" s="8">
        <v>10</v>
      </c>
      <c r="S26" s="8">
        <v>4.0999999999999996</v>
      </c>
      <c r="T26" s="9">
        <v>11.2</v>
      </c>
      <c r="U26" s="9">
        <v>1.8</v>
      </c>
      <c r="W26" s="10">
        <v>1</v>
      </c>
      <c r="X26" s="11">
        <v>210</v>
      </c>
      <c r="AI26" s="15" t="s">
        <v>61</v>
      </c>
      <c r="AJ26" s="15" t="s">
        <v>59</v>
      </c>
      <c r="AK26" s="15">
        <v>2007</v>
      </c>
      <c r="AL26" s="15" t="s">
        <v>60</v>
      </c>
    </row>
    <row r="27" spans="1:39" x14ac:dyDescent="0.3">
      <c r="A27" s="1">
        <v>139</v>
      </c>
      <c r="D27" s="2">
        <v>3</v>
      </c>
      <c r="E27" s="2">
        <v>40</v>
      </c>
      <c r="F27" s="2">
        <v>0</v>
      </c>
      <c r="K27" s="4">
        <v>1</v>
      </c>
      <c r="L27" s="2">
        <v>360</v>
      </c>
      <c r="N27" s="6">
        <v>6</v>
      </c>
      <c r="O27" s="17">
        <v>360</v>
      </c>
      <c r="P27" s="7">
        <f>142/144</f>
        <v>0.98611111111111116</v>
      </c>
      <c r="Q27" s="84">
        <v>0</v>
      </c>
      <c r="R27" s="8">
        <v>8.8000000000000007</v>
      </c>
      <c r="S27" s="8">
        <v>2.9</v>
      </c>
      <c r="T27" s="9">
        <v>11.7</v>
      </c>
      <c r="U27" s="9">
        <v>1.5</v>
      </c>
      <c r="W27" s="10">
        <v>1</v>
      </c>
      <c r="X27" s="11">
        <v>390</v>
      </c>
      <c r="AI27" s="15" t="s">
        <v>61</v>
      </c>
      <c r="AJ27" s="15" t="s">
        <v>59</v>
      </c>
      <c r="AK27" s="15">
        <v>2007</v>
      </c>
      <c r="AL27" s="15" t="s">
        <v>60</v>
      </c>
    </row>
    <row r="28" spans="1:39" x14ac:dyDescent="0.3">
      <c r="A28" s="1">
        <v>153</v>
      </c>
      <c r="B28" s="2">
        <v>36</v>
      </c>
      <c r="D28" s="2">
        <v>2</v>
      </c>
      <c r="E28" s="2">
        <v>40</v>
      </c>
      <c r="F28" s="2">
        <v>0</v>
      </c>
      <c r="K28" s="4">
        <v>1</v>
      </c>
      <c r="L28" s="2">
        <v>180</v>
      </c>
      <c r="N28" s="6">
        <v>6</v>
      </c>
      <c r="O28" s="17">
        <v>180</v>
      </c>
      <c r="P28" s="7">
        <f>149/150</f>
        <v>0.99333333333333329</v>
      </c>
      <c r="Q28" s="84">
        <v>0</v>
      </c>
      <c r="R28" s="8">
        <v>10.4</v>
      </c>
      <c r="S28" s="8">
        <v>2.6</v>
      </c>
      <c r="T28" s="9">
        <v>10.8</v>
      </c>
      <c r="U28" s="9">
        <v>3.8</v>
      </c>
      <c r="W28" s="10">
        <v>1</v>
      </c>
      <c r="X28" s="11">
        <v>210</v>
      </c>
      <c r="Y28" s="12">
        <f>3/36</f>
        <v>8.3333333333333329E-2</v>
      </c>
      <c r="AI28" s="15" t="s">
        <v>62</v>
      </c>
      <c r="AJ28" s="15" t="s">
        <v>59</v>
      </c>
      <c r="AK28" s="15">
        <v>2007</v>
      </c>
      <c r="AL28" s="15" t="s">
        <v>60</v>
      </c>
    </row>
    <row r="29" spans="1:39" x14ac:dyDescent="0.3">
      <c r="A29" s="1">
        <v>153</v>
      </c>
      <c r="D29" s="2">
        <v>2</v>
      </c>
      <c r="E29" s="2">
        <v>40</v>
      </c>
      <c r="F29" s="2">
        <v>1</v>
      </c>
      <c r="G29" s="3">
        <v>6</v>
      </c>
      <c r="K29" s="4">
        <v>1</v>
      </c>
      <c r="L29" s="2">
        <v>360</v>
      </c>
      <c r="N29" s="6">
        <v>6</v>
      </c>
      <c r="O29" s="17">
        <v>360</v>
      </c>
      <c r="P29" s="7">
        <f>149/150</f>
        <v>0.99333333333333329</v>
      </c>
      <c r="Q29" s="84">
        <v>0</v>
      </c>
      <c r="R29" s="8">
        <v>9</v>
      </c>
      <c r="S29" s="8">
        <v>3.7</v>
      </c>
      <c r="T29" s="9">
        <v>10.3</v>
      </c>
      <c r="U29" s="9">
        <v>6.3</v>
      </c>
      <c r="W29" s="10">
        <v>1</v>
      </c>
      <c r="X29" s="11">
        <v>390</v>
      </c>
      <c r="AI29" s="15" t="s">
        <v>62</v>
      </c>
      <c r="AJ29" s="15" t="s">
        <v>59</v>
      </c>
      <c r="AK29" s="15">
        <v>2007</v>
      </c>
      <c r="AL29" s="15" t="s">
        <v>60</v>
      </c>
    </row>
    <row r="30" spans="1:39" x14ac:dyDescent="0.3">
      <c r="A30" s="1">
        <v>136</v>
      </c>
      <c r="D30" s="2">
        <v>0</v>
      </c>
      <c r="F30" s="2">
        <v>2</v>
      </c>
      <c r="G30" s="3">
        <v>6</v>
      </c>
      <c r="K30" s="4">
        <v>1</v>
      </c>
      <c r="L30" s="2">
        <v>180</v>
      </c>
      <c r="N30" s="6">
        <v>6</v>
      </c>
      <c r="O30" s="17">
        <v>180</v>
      </c>
      <c r="P30" s="7">
        <v>0.97099999999999997</v>
      </c>
      <c r="Q30" s="84">
        <v>0</v>
      </c>
      <c r="R30" s="8">
        <v>9.4</v>
      </c>
      <c r="S30" s="8">
        <v>4.4000000000000004</v>
      </c>
      <c r="T30" s="9">
        <v>9.5</v>
      </c>
      <c r="U30" s="9">
        <v>3.2</v>
      </c>
      <c r="W30" s="10">
        <v>0.99299999999999999</v>
      </c>
      <c r="X30" s="11">
        <v>210</v>
      </c>
      <c r="AI30" s="15" t="s">
        <v>127</v>
      </c>
      <c r="AJ30" s="15" t="s">
        <v>59</v>
      </c>
      <c r="AK30" s="15">
        <v>2007</v>
      </c>
      <c r="AL30" s="15" t="s">
        <v>60</v>
      </c>
      <c r="AM30" s="15" t="s">
        <v>128</v>
      </c>
    </row>
    <row r="31" spans="1:39" x14ac:dyDescent="0.3">
      <c r="A31" s="1">
        <v>138</v>
      </c>
      <c r="D31" s="2">
        <v>0</v>
      </c>
      <c r="F31" s="2">
        <v>3</v>
      </c>
      <c r="G31" s="3">
        <v>6</v>
      </c>
      <c r="K31" s="4">
        <v>1</v>
      </c>
      <c r="L31" s="2">
        <v>360</v>
      </c>
      <c r="N31" s="6">
        <v>6</v>
      </c>
      <c r="O31" s="17">
        <v>360</v>
      </c>
      <c r="P31" s="7">
        <v>0.98599999999999999</v>
      </c>
      <c r="Q31" s="84">
        <v>0</v>
      </c>
      <c r="R31" s="8">
        <v>8.9</v>
      </c>
      <c r="S31" s="8">
        <v>4.3</v>
      </c>
      <c r="T31" s="9">
        <v>9.1</v>
      </c>
      <c r="U31" s="9">
        <v>4.4000000000000004</v>
      </c>
      <c r="W31" s="10">
        <v>0.99299999999999999</v>
      </c>
      <c r="X31" s="11">
        <v>390</v>
      </c>
      <c r="AI31" s="15" t="s">
        <v>127</v>
      </c>
      <c r="AJ31" s="15" t="s">
        <v>59</v>
      </c>
      <c r="AK31" s="15">
        <v>2007</v>
      </c>
      <c r="AL31" s="15" t="s">
        <v>60</v>
      </c>
    </row>
    <row r="32" spans="1:39" x14ac:dyDescent="0.3">
      <c r="A32" s="1">
        <v>139</v>
      </c>
      <c r="D32" s="2">
        <v>2</v>
      </c>
      <c r="E32" s="2">
        <v>8</v>
      </c>
      <c r="F32" s="2">
        <v>0</v>
      </c>
      <c r="K32" s="4">
        <v>2</v>
      </c>
      <c r="L32" s="2">
        <v>180</v>
      </c>
      <c r="M32" s="5">
        <v>8</v>
      </c>
      <c r="O32" s="17">
        <v>180</v>
      </c>
      <c r="P32" s="7">
        <f>147/149</f>
        <v>0.98657718120805371</v>
      </c>
      <c r="Q32" s="84">
        <v>0</v>
      </c>
      <c r="R32" s="8">
        <v>8.9</v>
      </c>
      <c r="S32" s="8">
        <v>6.3</v>
      </c>
      <c r="T32" s="9">
        <v>11.3</v>
      </c>
      <c r="U32" s="9">
        <v>1.9</v>
      </c>
      <c r="W32" s="10">
        <v>1</v>
      </c>
      <c r="X32" s="11">
        <v>210</v>
      </c>
      <c r="AI32" s="15" t="s">
        <v>61</v>
      </c>
      <c r="AJ32" s="15" t="s">
        <v>59</v>
      </c>
      <c r="AK32" s="15">
        <v>2007</v>
      </c>
      <c r="AL32" s="15" t="s">
        <v>60</v>
      </c>
    </row>
    <row r="33" spans="1:39" x14ac:dyDescent="0.3">
      <c r="A33" s="1">
        <v>139</v>
      </c>
      <c r="D33" s="2">
        <v>3</v>
      </c>
      <c r="E33" s="2">
        <v>8</v>
      </c>
      <c r="F33" s="2">
        <v>0</v>
      </c>
      <c r="K33" s="4">
        <v>2</v>
      </c>
      <c r="L33" s="2">
        <v>360</v>
      </c>
      <c r="N33" s="6">
        <v>5</v>
      </c>
      <c r="O33" s="17">
        <v>360</v>
      </c>
      <c r="P33" s="7">
        <f>143/144</f>
        <v>0.99305555555555558</v>
      </c>
      <c r="Q33" s="84">
        <v>0</v>
      </c>
      <c r="R33" s="8">
        <v>8.9</v>
      </c>
      <c r="S33" s="8">
        <v>4.2</v>
      </c>
      <c r="T33" s="9">
        <v>11.6</v>
      </c>
      <c r="U33" s="9">
        <v>2.4</v>
      </c>
      <c r="W33" s="10">
        <v>1</v>
      </c>
      <c r="X33" s="11">
        <v>390</v>
      </c>
      <c r="AI33" s="15" t="s">
        <v>61</v>
      </c>
      <c r="AJ33" s="15" t="s">
        <v>59</v>
      </c>
      <c r="AK33" s="15">
        <v>2007</v>
      </c>
      <c r="AL33" s="15" t="s">
        <v>60</v>
      </c>
    </row>
    <row r="34" spans="1:39" x14ac:dyDescent="0.3">
      <c r="A34" s="1">
        <v>153</v>
      </c>
      <c r="B34" s="2">
        <v>36</v>
      </c>
      <c r="D34" s="2">
        <v>2</v>
      </c>
      <c r="E34" s="2">
        <v>8</v>
      </c>
      <c r="F34" s="2">
        <v>0</v>
      </c>
      <c r="K34" s="4">
        <v>2</v>
      </c>
      <c r="L34" s="2">
        <v>180</v>
      </c>
      <c r="N34" s="6">
        <v>5</v>
      </c>
      <c r="O34" s="17">
        <v>180</v>
      </c>
      <c r="P34" s="7">
        <v>1</v>
      </c>
      <c r="Q34" s="84">
        <v>0</v>
      </c>
      <c r="R34" s="8">
        <v>9.6999999999999993</v>
      </c>
      <c r="S34" s="8">
        <v>3.2</v>
      </c>
      <c r="T34" s="9">
        <v>12</v>
      </c>
      <c r="U34" s="9">
        <v>3.6</v>
      </c>
      <c r="W34" s="10">
        <v>1</v>
      </c>
      <c r="X34" s="11">
        <v>210</v>
      </c>
      <c r="Y34" s="12">
        <f>9/36</f>
        <v>0.25</v>
      </c>
      <c r="AI34" s="15" t="s">
        <v>62</v>
      </c>
      <c r="AJ34" s="15" t="s">
        <v>59</v>
      </c>
      <c r="AK34" s="15">
        <v>2007</v>
      </c>
      <c r="AL34" s="15" t="s">
        <v>60</v>
      </c>
    </row>
    <row r="35" spans="1:39" x14ac:dyDescent="0.3">
      <c r="A35" s="1">
        <v>153</v>
      </c>
      <c r="D35" s="2">
        <v>2</v>
      </c>
      <c r="E35" s="2">
        <v>8</v>
      </c>
      <c r="F35" s="2">
        <v>1</v>
      </c>
      <c r="G35" s="3">
        <v>5</v>
      </c>
      <c r="K35" s="4">
        <v>2</v>
      </c>
      <c r="L35" s="2">
        <v>360</v>
      </c>
      <c r="N35" s="6">
        <v>5</v>
      </c>
      <c r="O35" s="17">
        <v>360</v>
      </c>
      <c r="P35" s="7">
        <f>149/150</f>
        <v>0.99333333333333329</v>
      </c>
      <c r="Q35" s="84">
        <v>0</v>
      </c>
      <c r="R35" s="8">
        <v>10.5</v>
      </c>
      <c r="S35" s="8">
        <v>4.0999999999999996</v>
      </c>
      <c r="T35" s="9">
        <v>11.2</v>
      </c>
      <c r="U35" s="9">
        <v>3.5</v>
      </c>
      <c r="W35" s="10">
        <v>1</v>
      </c>
      <c r="X35" s="11">
        <v>390</v>
      </c>
      <c r="AI35" s="15" t="s">
        <v>62</v>
      </c>
      <c r="AJ35" s="15" t="s">
        <v>59</v>
      </c>
      <c r="AK35" s="15">
        <v>2007</v>
      </c>
      <c r="AL35" s="15" t="s">
        <v>60</v>
      </c>
    </row>
    <row r="36" spans="1:39" x14ac:dyDescent="0.3">
      <c r="A36" s="1">
        <v>136</v>
      </c>
      <c r="D36" s="2">
        <v>0</v>
      </c>
      <c r="F36" s="2">
        <v>2</v>
      </c>
      <c r="G36" s="3">
        <v>5</v>
      </c>
      <c r="K36" s="4">
        <v>2</v>
      </c>
      <c r="L36" s="2">
        <v>180</v>
      </c>
      <c r="N36" s="6">
        <v>5</v>
      </c>
      <c r="O36" s="17">
        <v>180</v>
      </c>
      <c r="P36" s="7">
        <v>0.99299999999999999</v>
      </c>
      <c r="Q36" s="84">
        <v>0</v>
      </c>
      <c r="R36" s="8">
        <v>10.7</v>
      </c>
      <c r="S36" s="8">
        <v>2.8</v>
      </c>
      <c r="T36" s="9">
        <v>10.7</v>
      </c>
      <c r="U36" s="9">
        <v>2.9</v>
      </c>
      <c r="W36" s="10">
        <v>1</v>
      </c>
      <c r="X36" s="11">
        <v>210</v>
      </c>
      <c r="AI36" s="15" t="s">
        <v>127</v>
      </c>
      <c r="AJ36" s="15" t="s">
        <v>59</v>
      </c>
      <c r="AK36" s="15">
        <v>2007</v>
      </c>
      <c r="AL36" s="15" t="s">
        <v>60</v>
      </c>
      <c r="AM36" s="15" t="s">
        <v>128</v>
      </c>
    </row>
    <row r="37" spans="1:39" x14ac:dyDescent="0.3">
      <c r="A37" s="1">
        <v>138</v>
      </c>
      <c r="D37" s="2">
        <v>0</v>
      </c>
      <c r="F37" s="2">
        <v>3</v>
      </c>
      <c r="G37" s="3">
        <v>5</v>
      </c>
      <c r="K37" s="4">
        <v>2</v>
      </c>
      <c r="L37" s="2">
        <v>360</v>
      </c>
      <c r="N37" s="6">
        <v>5</v>
      </c>
      <c r="O37" s="17">
        <v>360</v>
      </c>
      <c r="P37" s="7">
        <v>1</v>
      </c>
      <c r="Q37" s="84">
        <v>0</v>
      </c>
      <c r="R37" s="8">
        <v>10.1</v>
      </c>
      <c r="S37" s="8">
        <v>2</v>
      </c>
      <c r="T37" s="9">
        <v>10</v>
      </c>
      <c r="U37" s="9">
        <v>3.9</v>
      </c>
      <c r="W37" s="10">
        <v>1</v>
      </c>
      <c r="X37" s="11">
        <v>390</v>
      </c>
      <c r="AI37" s="15" t="s">
        <v>127</v>
      </c>
      <c r="AJ37" s="15" t="s">
        <v>59</v>
      </c>
      <c r="AK37" s="15">
        <v>2007</v>
      </c>
      <c r="AL37" s="15" t="s">
        <v>60</v>
      </c>
    </row>
    <row r="38" spans="1:39" x14ac:dyDescent="0.3">
      <c r="A38" s="1">
        <v>139</v>
      </c>
      <c r="D38" s="2">
        <v>2</v>
      </c>
      <c r="E38" s="2">
        <v>32</v>
      </c>
      <c r="F38" s="2">
        <v>0</v>
      </c>
      <c r="K38" s="4">
        <v>3</v>
      </c>
      <c r="L38" s="2">
        <v>180</v>
      </c>
      <c r="M38" s="5">
        <v>32</v>
      </c>
      <c r="O38" s="17">
        <v>180</v>
      </c>
      <c r="P38" s="7">
        <f>146/149</f>
        <v>0.97986577181208057</v>
      </c>
      <c r="Q38" s="84">
        <v>0</v>
      </c>
      <c r="R38" s="8">
        <v>9.5</v>
      </c>
      <c r="S38" s="8">
        <v>6.4</v>
      </c>
      <c r="T38" s="9">
        <v>11.5</v>
      </c>
      <c r="U38" s="9">
        <v>2.2000000000000002</v>
      </c>
      <c r="W38" s="10">
        <v>1</v>
      </c>
      <c r="X38" s="11">
        <v>210</v>
      </c>
      <c r="AI38" s="15" t="s">
        <v>61</v>
      </c>
      <c r="AJ38" s="15" t="s">
        <v>59</v>
      </c>
      <c r="AK38" s="15">
        <v>2007</v>
      </c>
      <c r="AL38" s="15" t="s">
        <v>60</v>
      </c>
    </row>
    <row r="39" spans="1:39" x14ac:dyDescent="0.3">
      <c r="A39" s="1">
        <v>139</v>
      </c>
      <c r="D39" s="2">
        <v>3</v>
      </c>
      <c r="E39" s="2">
        <v>32</v>
      </c>
      <c r="F39" s="2">
        <v>0</v>
      </c>
      <c r="K39" s="4">
        <v>3</v>
      </c>
      <c r="L39" s="2">
        <v>360</v>
      </c>
      <c r="N39" s="6">
        <v>5.8</v>
      </c>
      <c r="O39" s="17">
        <v>360</v>
      </c>
      <c r="P39" s="7">
        <f>141/144</f>
        <v>0.97916666666666663</v>
      </c>
      <c r="Q39" s="84">
        <v>0</v>
      </c>
      <c r="R39" s="8">
        <v>9</v>
      </c>
      <c r="S39" s="8">
        <v>4.5999999999999996</v>
      </c>
      <c r="T39" s="9">
        <v>12.1</v>
      </c>
      <c r="U39" s="9">
        <v>2.1</v>
      </c>
      <c r="W39" s="10">
        <f>138/139</f>
        <v>0.9928057553956835</v>
      </c>
      <c r="X39" s="11">
        <v>390</v>
      </c>
      <c r="AI39" s="15" t="s">
        <v>61</v>
      </c>
      <c r="AJ39" s="15" t="s">
        <v>59</v>
      </c>
      <c r="AK39" s="15">
        <v>2007</v>
      </c>
      <c r="AL39" s="15" t="s">
        <v>60</v>
      </c>
    </row>
    <row r="40" spans="1:39" x14ac:dyDescent="0.3">
      <c r="A40" s="1">
        <v>153</v>
      </c>
      <c r="B40" s="2">
        <v>36</v>
      </c>
      <c r="D40" s="2">
        <v>2</v>
      </c>
      <c r="E40" s="2">
        <v>32</v>
      </c>
      <c r="F40" s="2">
        <v>0</v>
      </c>
      <c r="K40" s="4">
        <v>3</v>
      </c>
      <c r="L40" s="2">
        <v>180</v>
      </c>
      <c r="N40" s="6">
        <v>5.8</v>
      </c>
      <c r="O40" s="17">
        <v>180</v>
      </c>
      <c r="P40" s="7">
        <f>148/149</f>
        <v>0.99328859060402686</v>
      </c>
      <c r="Q40" s="84">
        <v>0</v>
      </c>
      <c r="R40" s="8">
        <v>10.1</v>
      </c>
      <c r="S40" s="8">
        <v>4.5999999999999996</v>
      </c>
      <c r="T40" s="9">
        <v>11.4</v>
      </c>
      <c r="U40" s="9">
        <v>4.3</v>
      </c>
      <c r="W40" s="10">
        <v>1</v>
      </c>
      <c r="X40" s="11">
        <v>210</v>
      </c>
      <c r="Y40" s="12">
        <f>12/36</f>
        <v>0.33333333333333331</v>
      </c>
      <c r="AI40" s="15" t="s">
        <v>62</v>
      </c>
      <c r="AJ40" s="15" t="s">
        <v>59</v>
      </c>
      <c r="AK40" s="15">
        <v>2007</v>
      </c>
      <c r="AL40" s="15" t="s">
        <v>60</v>
      </c>
    </row>
    <row r="41" spans="1:39" x14ac:dyDescent="0.3">
      <c r="A41" s="1">
        <v>153</v>
      </c>
      <c r="D41" s="2">
        <v>2</v>
      </c>
      <c r="E41" s="2">
        <v>32</v>
      </c>
      <c r="F41" s="2">
        <v>1</v>
      </c>
      <c r="G41" s="3">
        <v>5.7</v>
      </c>
      <c r="K41" s="4">
        <v>3</v>
      </c>
      <c r="L41" s="2">
        <v>360</v>
      </c>
      <c r="N41" s="6">
        <v>5.8</v>
      </c>
      <c r="O41" s="17">
        <v>360</v>
      </c>
      <c r="P41" s="7">
        <f>144/149</f>
        <v>0.96644295302013428</v>
      </c>
      <c r="Q41" s="84">
        <v>0</v>
      </c>
      <c r="R41" s="8">
        <v>9</v>
      </c>
      <c r="S41" s="8">
        <v>6.3</v>
      </c>
      <c r="T41" s="9">
        <v>10.199999999999999</v>
      </c>
      <c r="U41" s="9">
        <v>5.9</v>
      </c>
      <c r="W41" s="10">
        <f>146/147</f>
        <v>0.99319727891156462</v>
      </c>
      <c r="X41" s="11">
        <v>390</v>
      </c>
      <c r="AI41" s="15" t="s">
        <v>62</v>
      </c>
      <c r="AJ41" s="15" t="s">
        <v>59</v>
      </c>
      <c r="AK41" s="15">
        <v>2007</v>
      </c>
      <c r="AL41" s="15" t="s">
        <v>60</v>
      </c>
    </row>
    <row r="42" spans="1:39" x14ac:dyDescent="0.3">
      <c r="A42" s="1">
        <v>135</v>
      </c>
      <c r="D42" s="2">
        <v>0</v>
      </c>
      <c r="F42" s="2">
        <v>2</v>
      </c>
      <c r="G42" s="3">
        <v>5.5</v>
      </c>
      <c r="K42" s="4">
        <v>3</v>
      </c>
      <c r="L42" s="2">
        <v>180</v>
      </c>
      <c r="N42" s="6">
        <v>5.5</v>
      </c>
      <c r="O42" s="17">
        <v>180</v>
      </c>
      <c r="P42" s="7">
        <v>0.92100000000000004</v>
      </c>
      <c r="Q42" s="84">
        <v>0</v>
      </c>
      <c r="R42" s="8">
        <v>8.6</v>
      </c>
      <c r="S42" s="8">
        <v>6.5</v>
      </c>
      <c r="T42" s="9">
        <v>8.6999999999999993</v>
      </c>
      <c r="U42" s="9">
        <v>5.7</v>
      </c>
      <c r="W42" s="10">
        <v>0.97</v>
      </c>
      <c r="X42" s="11">
        <v>210</v>
      </c>
      <c r="AI42" s="15" t="s">
        <v>127</v>
      </c>
      <c r="AJ42" s="15" t="s">
        <v>59</v>
      </c>
      <c r="AK42" s="15">
        <v>2007</v>
      </c>
      <c r="AL42" s="15" t="s">
        <v>60</v>
      </c>
      <c r="AM42" s="15" t="s">
        <v>128</v>
      </c>
    </row>
    <row r="43" spans="1:39" x14ac:dyDescent="0.3">
      <c r="A43" s="1">
        <v>138</v>
      </c>
      <c r="D43" s="2">
        <v>0</v>
      </c>
      <c r="F43" s="2">
        <v>3</v>
      </c>
      <c r="G43" s="3">
        <v>5.5</v>
      </c>
      <c r="K43" s="4">
        <v>3</v>
      </c>
      <c r="L43" s="2">
        <v>360</v>
      </c>
      <c r="N43" s="6">
        <v>5.5</v>
      </c>
      <c r="O43" s="17">
        <v>360</v>
      </c>
      <c r="P43" s="7">
        <v>0.96299999999999997</v>
      </c>
      <c r="Q43" s="84">
        <v>0</v>
      </c>
      <c r="R43" s="8">
        <v>7.9</v>
      </c>
      <c r="S43" s="8">
        <v>6.9</v>
      </c>
      <c r="T43" s="9">
        <v>9</v>
      </c>
      <c r="U43" s="9">
        <v>6.5</v>
      </c>
      <c r="W43" s="10">
        <v>0.98599999999999999</v>
      </c>
      <c r="X43" s="11">
        <v>390</v>
      </c>
      <c r="AI43" s="15" t="s">
        <v>127</v>
      </c>
      <c r="AJ43" s="15" t="s">
        <v>59</v>
      </c>
      <c r="AK43" s="15">
        <v>2007</v>
      </c>
      <c r="AL43" s="15" t="s">
        <v>60</v>
      </c>
    </row>
    <row r="44" spans="1:39" x14ac:dyDescent="0.3">
      <c r="A44" s="1">
        <v>282</v>
      </c>
      <c r="D44" s="2">
        <v>2</v>
      </c>
      <c r="E44" s="2">
        <v>20</v>
      </c>
      <c r="F44" s="2">
        <v>0</v>
      </c>
      <c r="K44" s="4">
        <v>1</v>
      </c>
      <c r="L44" s="2">
        <f>9490+21*2</f>
        <v>9532</v>
      </c>
      <c r="N44" s="6">
        <v>4.84</v>
      </c>
      <c r="O44" s="17">
        <v>9532</v>
      </c>
      <c r="P44" s="7">
        <v>0.628</v>
      </c>
      <c r="Q44" s="84">
        <v>0</v>
      </c>
      <c r="R44" s="8">
        <v>4.32</v>
      </c>
      <c r="S44" s="8">
        <v>10.78</v>
      </c>
      <c r="T44" s="9">
        <v>4.87</v>
      </c>
      <c r="U44" s="9">
        <v>9.61</v>
      </c>
      <c r="V44" s="10">
        <v>0.30499999999999999</v>
      </c>
      <c r="W44" s="10">
        <v>0.69899999999999995</v>
      </c>
      <c r="X44" s="11">
        <f t="shared" ref="X44:X49" si="0">L44+74</f>
        <v>9606</v>
      </c>
      <c r="AI44" s="15" t="s">
        <v>228</v>
      </c>
      <c r="AJ44" s="15" t="s">
        <v>226</v>
      </c>
      <c r="AK44" s="15">
        <v>1959</v>
      </c>
      <c r="AL44" s="15" t="s">
        <v>227</v>
      </c>
      <c r="AM44" s="15" t="s">
        <v>230</v>
      </c>
    </row>
    <row r="45" spans="1:39" x14ac:dyDescent="0.3">
      <c r="A45" s="1">
        <v>255</v>
      </c>
      <c r="D45" s="2">
        <v>2</v>
      </c>
      <c r="E45" s="2">
        <v>20</v>
      </c>
      <c r="F45" s="2">
        <v>0</v>
      </c>
      <c r="K45" s="4">
        <v>1</v>
      </c>
      <c r="L45" s="2">
        <f>876+21*2</f>
        <v>918</v>
      </c>
      <c r="N45" s="6">
        <v>4.84</v>
      </c>
      <c r="O45" s="17">
        <v>918</v>
      </c>
      <c r="P45" s="7">
        <v>0.17599999999999999</v>
      </c>
      <c r="Q45" s="84">
        <v>0</v>
      </c>
      <c r="R45" s="8">
        <v>1.39</v>
      </c>
      <c r="S45" s="8">
        <v>6.46</v>
      </c>
      <c r="T45" s="9">
        <v>5.29</v>
      </c>
      <c r="U45" s="9">
        <v>8.7899999999999991</v>
      </c>
      <c r="V45" s="10">
        <v>0.70199999999999996</v>
      </c>
      <c r="W45" s="10">
        <v>0.76900000000000002</v>
      </c>
      <c r="X45" s="11">
        <f t="shared" si="0"/>
        <v>992</v>
      </c>
      <c r="AI45" s="15" t="s">
        <v>229</v>
      </c>
      <c r="AJ45" s="15" t="s">
        <v>226</v>
      </c>
      <c r="AK45" s="15">
        <v>1959</v>
      </c>
      <c r="AL45" s="15" t="s">
        <v>227</v>
      </c>
      <c r="AM45" s="15" t="s">
        <v>230</v>
      </c>
    </row>
    <row r="46" spans="1:39" x14ac:dyDescent="0.3">
      <c r="A46" s="1">
        <v>282</v>
      </c>
      <c r="D46" s="2">
        <v>2</v>
      </c>
      <c r="E46" s="2">
        <v>2</v>
      </c>
      <c r="F46" s="2">
        <v>0</v>
      </c>
      <c r="K46" s="4">
        <v>2</v>
      </c>
      <c r="L46" s="2">
        <f>9490+21*1</f>
        <v>9511</v>
      </c>
      <c r="N46" s="6">
        <v>5</v>
      </c>
      <c r="O46" s="17">
        <v>9551</v>
      </c>
      <c r="P46" s="7">
        <v>0.69099999999999995</v>
      </c>
      <c r="Q46" s="84">
        <v>0</v>
      </c>
      <c r="R46" s="8">
        <v>4.84</v>
      </c>
      <c r="S46" s="8">
        <v>11.16</v>
      </c>
      <c r="T46" s="9">
        <v>5.4</v>
      </c>
      <c r="U46" s="9">
        <v>9.84</v>
      </c>
      <c r="V46" s="10">
        <v>0.30099999999999999</v>
      </c>
      <c r="W46" s="10">
        <v>0.74099999999999999</v>
      </c>
      <c r="X46" s="11">
        <f t="shared" si="0"/>
        <v>9585</v>
      </c>
      <c r="AI46" s="15" t="s">
        <v>228</v>
      </c>
      <c r="AJ46" s="15" t="s">
        <v>226</v>
      </c>
      <c r="AK46" s="15">
        <v>1959</v>
      </c>
      <c r="AL46" s="15" t="s">
        <v>227</v>
      </c>
      <c r="AM46" s="15" t="s">
        <v>230</v>
      </c>
    </row>
    <row r="47" spans="1:39" x14ac:dyDescent="0.3">
      <c r="A47" s="1">
        <v>255</v>
      </c>
      <c r="D47" s="2">
        <v>2</v>
      </c>
      <c r="E47" s="2">
        <v>2</v>
      </c>
      <c r="F47" s="2">
        <v>0</v>
      </c>
      <c r="K47" s="4">
        <v>2</v>
      </c>
      <c r="L47" s="2">
        <f>876+21*1</f>
        <v>897</v>
      </c>
      <c r="N47" s="6">
        <v>5</v>
      </c>
      <c r="O47" s="17">
        <v>897</v>
      </c>
      <c r="P47" s="7">
        <v>0.35699999999999998</v>
      </c>
      <c r="Q47" s="84">
        <v>0</v>
      </c>
      <c r="R47" s="8">
        <v>2.61</v>
      </c>
      <c r="S47" s="8">
        <v>8.5399999999999991</v>
      </c>
      <c r="T47" s="9">
        <v>6.32</v>
      </c>
      <c r="U47" s="9">
        <v>10.27</v>
      </c>
      <c r="V47" s="10">
        <v>0.72499999999999998</v>
      </c>
      <c r="W47" s="10">
        <v>0.82699999999999996</v>
      </c>
      <c r="X47" s="11">
        <f t="shared" si="0"/>
        <v>971</v>
      </c>
      <c r="AI47" s="15" t="s">
        <v>229</v>
      </c>
      <c r="AJ47" s="15" t="s">
        <v>226</v>
      </c>
      <c r="AK47" s="15">
        <v>1959</v>
      </c>
      <c r="AL47" s="15" t="s">
        <v>227</v>
      </c>
      <c r="AM47" s="15" t="s">
        <v>230</v>
      </c>
    </row>
    <row r="48" spans="1:39" x14ac:dyDescent="0.3">
      <c r="A48" s="1">
        <v>282</v>
      </c>
      <c r="D48" s="2">
        <v>2</v>
      </c>
      <c r="E48" s="2">
        <v>4</v>
      </c>
      <c r="F48" s="2">
        <v>0</v>
      </c>
      <c r="K48" s="4">
        <v>3</v>
      </c>
      <c r="L48" s="2">
        <f>9490+21*3</f>
        <v>9553</v>
      </c>
      <c r="N48" s="6">
        <v>5.3</v>
      </c>
      <c r="O48" s="17">
        <v>9553</v>
      </c>
      <c r="P48" s="7">
        <v>0.48</v>
      </c>
      <c r="Q48" s="84">
        <v>0</v>
      </c>
      <c r="R48" s="8">
        <v>3.29</v>
      </c>
      <c r="S48" s="8">
        <v>10.8</v>
      </c>
      <c r="T48" s="9">
        <v>3.99</v>
      </c>
      <c r="U48" s="9">
        <v>10.3</v>
      </c>
      <c r="V48" s="10">
        <v>0.27400000000000002</v>
      </c>
      <c r="W48" s="10">
        <v>0.58699999999999997</v>
      </c>
      <c r="X48" s="11">
        <f t="shared" si="0"/>
        <v>9627</v>
      </c>
      <c r="AI48" s="15" t="s">
        <v>228</v>
      </c>
      <c r="AJ48" s="15" t="s">
        <v>226</v>
      </c>
      <c r="AK48" s="15">
        <v>1959</v>
      </c>
      <c r="AL48" s="15" t="s">
        <v>227</v>
      </c>
      <c r="AM48" s="15" t="s">
        <v>230</v>
      </c>
    </row>
    <row r="49" spans="1:39" x14ac:dyDescent="0.3">
      <c r="A49" s="1">
        <v>255</v>
      </c>
      <c r="D49" s="2">
        <v>2</v>
      </c>
      <c r="E49" s="2">
        <v>4</v>
      </c>
      <c r="F49" s="2">
        <v>0</v>
      </c>
      <c r="K49" s="4">
        <v>3</v>
      </c>
      <c r="L49" s="2">
        <f>876+21*3</f>
        <v>939</v>
      </c>
      <c r="N49" s="6">
        <v>5.3</v>
      </c>
      <c r="O49" s="17">
        <v>939</v>
      </c>
      <c r="P49" s="7">
        <v>0.114</v>
      </c>
      <c r="Q49" s="84">
        <v>0</v>
      </c>
      <c r="R49" s="8">
        <v>0.87</v>
      </c>
      <c r="S49" s="8">
        <v>4.62</v>
      </c>
      <c r="T49" s="9">
        <v>5.1100000000000003</v>
      </c>
      <c r="U49" s="9">
        <v>8.83</v>
      </c>
      <c r="V49" s="10">
        <v>0.69</v>
      </c>
      <c r="W49" s="10">
        <v>0.745</v>
      </c>
      <c r="X49" s="11">
        <f t="shared" si="0"/>
        <v>1013</v>
      </c>
      <c r="AI49" s="15" t="s">
        <v>229</v>
      </c>
      <c r="AJ49" s="15" t="s">
        <v>226</v>
      </c>
      <c r="AK49" s="15">
        <v>1959</v>
      </c>
      <c r="AL49" s="15" t="s">
        <v>227</v>
      </c>
      <c r="AM49" s="15" t="s">
        <v>230</v>
      </c>
    </row>
    <row r="50" spans="1:39" x14ac:dyDescent="0.3">
      <c r="A50" s="1">
        <v>84</v>
      </c>
      <c r="B50" s="2">
        <v>90</v>
      </c>
      <c r="D50" s="2">
        <v>0</v>
      </c>
      <c r="F50" s="2">
        <v>0</v>
      </c>
      <c r="K50" s="4">
        <v>1</v>
      </c>
      <c r="L50" s="2">
        <v>365</v>
      </c>
      <c r="N50" s="6">
        <v>5.5</v>
      </c>
      <c r="O50" s="17">
        <v>365</v>
      </c>
      <c r="V50" s="10">
        <v>0.76</v>
      </c>
      <c r="W50" s="76"/>
      <c r="X50" s="11">
        <v>395</v>
      </c>
      <c r="Y50" s="12">
        <v>0.72</v>
      </c>
      <c r="AB50" s="2">
        <v>31.4</v>
      </c>
      <c r="AC50" s="2">
        <v>102</v>
      </c>
      <c r="AI50" s="81" t="s">
        <v>482</v>
      </c>
      <c r="AJ50" s="81" t="s">
        <v>480</v>
      </c>
      <c r="AK50" s="15">
        <v>1967</v>
      </c>
      <c r="AL50" s="81" t="s">
        <v>481</v>
      </c>
      <c r="AM50" s="81"/>
    </row>
    <row r="51" spans="1:39" x14ac:dyDescent="0.3">
      <c r="A51" s="1">
        <v>88</v>
      </c>
      <c r="B51" s="68">
        <v>105</v>
      </c>
      <c r="D51" s="2">
        <v>0</v>
      </c>
      <c r="F51" s="2">
        <v>0</v>
      </c>
      <c r="K51" s="4">
        <v>1</v>
      </c>
      <c r="L51" s="2">
        <v>365</v>
      </c>
      <c r="N51" s="6">
        <v>5.5</v>
      </c>
      <c r="O51" s="17">
        <v>365</v>
      </c>
      <c r="V51" s="10">
        <v>0.43</v>
      </c>
      <c r="W51" s="76"/>
      <c r="X51" s="11">
        <v>395</v>
      </c>
      <c r="Y51" s="12">
        <v>0.23</v>
      </c>
      <c r="AB51" s="2">
        <v>32.200000000000003</v>
      </c>
      <c r="AC51" s="2">
        <v>192</v>
      </c>
      <c r="AI51" s="81" t="s">
        <v>483</v>
      </c>
      <c r="AJ51" s="81" t="s">
        <v>480</v>
      </c>
      <c r="AK51" s="81">
        <v>1967</v>
      </c>
      <c r="AL51" s="81" t="s">
        <v>481</v>
      </c>
      <c r="AM51" s="81"/>
    </row>
    <row r="52" spans="1:39" x14ac:dyDescent="0.3">
      <c r="A52" s="1">
        <v>71</v>
      </c>
      <c r="B52" s="68">
        <v>75</v>
      </c>
      <c r="D52" s="2">
        <v>0</v>
      </c>
      <c r="F52" s="2">
        <v>0</v>
      </c>
      <c r="K52" s="4">
        <v>2</v>
      </c>
      <c r="L52" s="2">
        <v>365</v>
      </c>
      <c r="N52" s="6">
        <v>5.5</v>
      </c>
      <c r="O52" s="17">
        <v>365</v>
      </c>
      <c r="V52" s="10">
        <v>0.75</v>
      </c>
      <c r="W52" s="76"/>
      <c r="X52" s="11">
        <v>395</v>
      </c>
      <c r="Y52" s="12">
        <v>0.88</v>
      </c>
      <c r="AB52" s="2">
        <v>33.799999999999997</v>
      </c>
      <c r="AC52" s="2">
        <v>101</v>
      </c>
      <c r="AI52" s="81" t="s">
        <v>484</v>
      </c>
      <c r="AJ52" s="81" t="s">
        <v>480</v>
      </c>
      <c r="AK52" s="81">
        <v>1967</v>
      </c>
      <c r="AL52" s="81" t="s">
        <v>481</v>
      </c>
      <c r="AM52" s="81"/>
    </row>
    <row r="53" spans="1:39" x14ac:dyDescent="0.3">
      <c r="A53" s="1">
        <v>88</v>
      </c>
      <c r="B53" s="2">
        <v>105</v>
      </c>
      <c r="D53" s="2">
        <v>0</v>
      </c>
      <c r="F53" s="2">
        <v>0</v>
      </c>
      <c r="K53" s="4">
        <v>2</v>
      </c>
      <c r="L53" s="2">
        <v>365</v>
      </c>
      <c r="N53" s="6">
        <v>5.5</v>
      </c>
      <c r="O53" s="17">
        <v>365</v>
      </c>
      <c r="V53" s="10">
        <v>0.69</v>
      </c>
      <c r="X53" s="11">
        <v>395</v>
      </c>
      <c r="Y53" s="12">
        <v>0.52</v>
      </c>
      <c r="AB53" s="2">
        <v>31.7</v>
      </c>
      <c r="AC53" s="2">
        <v>107</v>
      </c>
      <c r="AI53" s="15" t="s">
        <v>483</v>
      </c>
      <c r="AJ53" s="15" t="s">
        <v>480</v>
      </c>
      <c r="AK53" s="15">
        <v>1967</v>
      </c>
      <c r="AL53" s="15" t="s">
        <v>481</v>
      </c>
    </row>
    <row r="54" spans="1:39" x14ac:dyDescent="0.3">
      <c r="A54" s="1">
        <v>49</v>
      </c>
      <c r="B54" s="2">
        <v>50</v>
      </c>
      <c r="D54" s="2">
        <v>0</v>
      </c>
      <c r="F54" s="2">
        <v>0</v>
      </c>
      <c r="K54" s="4">
        <v>3</v>
      </c>
      <c r="L54" s="2">
        <v>365</v>
      </c>
      <c r="N54" s="6">
        <v>5.5</v>
      </c>
      <c r="O54" s="17">
        <v>365</v>
      </c>
      <c r="V54" s="10">
        <v>0.63</v>
      </c>
      <c r="X54" s="11">
        <v>395</v>
      </c>
      <c r="Y54" s="12">
        <v>0.8</v>
      </c>
      <c r="AB54" s="2">
        <v>30.5</v>
      </c>
      <c r="AC54" s="2">
        <v>128</v>
      </c>
      <c r="AI54" s="15" t="s">
        <v>485</v>
      </c>
      <c r="AJ54" s="15" t="s">
        <v>480</v>
      </c>
      <c r="AK54" s="15">
        <v>1967</v>
      </c>
      <c r="AL54" s="15" t="s">
        <v>481</v>
      </c>
    </row>
    <row r="55" spans="1:39" x14ac:dyDescent="0.3">
      <c r="A55" s="1">
        <v>88</v>
      </c>
      <c r="B55" s="2">
        <v>105</v>
      </c>
      <c r="D55" s="2">
        <v>0</v>
      </c>
      <c r="F55" s="2">
        <v>0</v>
      </c>
      <c r="K55" s="4">
        <v>3</v>
      </c>
      <c r="L55" s="2">
        <v>365</v>
      </c>
      <c r="N55" s="6">
        <v>5.5</v>
      </c>
      <c r="O55" s="17">
        <v>365</v>
      </c>
      <c r="V55" s="10">
        <v>0.52</v>
      </c>
      <c r="X55" s="11">
        <v>395</v>
      </c>
      <c r="Y55" s="12">
        <v>0.39</v>
      </c>
      <c r="AB55" s="2">
        <v>36.4</v>
      </c>
      <c r="AC55" s="2">
        <v>122</v>
      </c>
      <c r="AI55" s="15" t="s">
        <v>483</v>
      </c>
      <c r="AJ55" s="15" t="s">
        <v>480</v>
      </c>
      <c r="AK55" s="15">
        <v>1967</v>
      </c>
      <c r="AL55" s="15" t="s">
        <v>481</v>
      </c>
    </row>
    <row r="56" spans="1:39" x14ac:dyDescent="0.3">
      <c r="A56" s="1">
        <v>91</v>
      </c>
      <c r="D56" s="2">
        <v>0</v>
      </c>
      <c r="F56" s="2">
        <v>0</v>
      </c>
      <c r="K56" s="4">
        <v>1</v>
      </c>
      <c r="L56" s="2">
        <v>730</v>
      </c>
      <c r="N56" s="6">
        <v>6</v>
      </c>
      <c r="O56" s="17">
        <v>730</v>
      </c>
      <c r="P56" s="7">
        <v>0</v>
      </c>
      <c r="Q56" s="84">
        <v>0</v>
      </c>
      <c r="R56" s="8">
        <v>0</v>
      </c>
      <c r="S56" s="8">
        <v>0</v>
      </c>
      <c r="AI56" s="15" t="s">
        <v>551</v>
      </c>
      <c r="AJ56" s="15" t="s">
        <v>549</v>
      </c>
      <c r="AK56" s="15">
        <v>1966</v>
      </c>
      <c r="AL56" s="15" t="s">
        <v>550</v>
      </c>
    </row>
    <row r="57" spans="1:39" x14ac:dyDescent="0.3">
      <c r="A57" s="1">
        <v>91</v>
      </c>
      <c r="D57" s="2">
        <v>0</v>
      </c>
      <c r="F57" s="2">
        <v>1</v>
      </c>
      <c r="G57" s="3">
        <v>6</v>
      </c>
      <c r="K57" s="4">
        <v>1</v>
      </c>
      <c r="L57" s="2">
        <v>786</v>
      </c>
      <c r="N57" s="6">
        <v>6</v>
      </c>
      <c r="Q57" s="84">
        <v>0</v>
      </c>
      <c r="T57" s="9">
        <v>7.76</v>
      </c>
      <c r="U57" s="9">
        <v>3.52</v>
      </c>
      <c r="W57" s="10">
        <f>90/91</f>
        <v>0.98901098901098905</v>
      </c>
      <c r="X57" s="11">
        <v>816</v>
      </c>
      <c r="AI57" s="15" t="s">
        <v>551</v>
      </c>
      <c r="AJ57" s="15" t="s">
        <v>549</v>
      </c>
      <c r="AK57" s="15">
        <v>1966</v>
      </c>
      <c r="AL57" s="15" t="s">
        <v>550</v>
      </c>
    </row>
    <row r="58" spans="1:39" x14ac:dyDescent="0.3">
      <c r="A58" s="1">
        <v>91</v>
      </c>
      <c r="D58" s="2">
        <v>0</v>
      </c>
      <c r="F58" s="2">
        <v>2</v>
      </c>
      <c r="G58" s="3">
        <v>6</v>
      </c>
      <c r="K58" s="4">
        <v>1</v>
      </c>
      <c r="L58" s="2">
        <f>L57+365</f>
        <v>1151</v>
      </c>
      <c r="O58" s="17">
        <v>1151</v>
      </c>
      <c r="P58" s="7">
        <v>1</v>
      </c>
      <c r="Q58" s="84">
        <v>0</v>
      </c>
      <c r="R58" s="8">
        <v>6.08</v>
      </c>
      <c r="S58" s="8">
        <v>3.06</v>
      </c>
      <c r="AE58" s="80"/>
      <c r="AI58" s="15" t="s">
        <v>551</v>
      </c>
      <c r="AJ58" s="15" t="s">
        <v>549</v>
      </c>
      <c r="AK58" s="15">
        <v>1966</v>
      </c>
      <c r="AL58" s="15" t="s">
        <v>550</v>
      </c>
    </row>
    <row r="59" spans="1:39" x14ac:dyDescent="0.3">
      <c r="A59" s="1">
        <v>91</v>
      </c>
      <c r="D59" s="2">
        <v>0</v>
      </c>
      <c r="F59" s="2">
        <v>2</v>
      </c>
      <c r="G59" s="3">
        <v>6</v>
      </c>
      <c r="K59" s="4">
        <v>1</v>
      </c>
      <c r="L59" s="2">
        <f>L58+365</f>
        <v>1516</v>
      </c>
      <c r="O59" s="17">
        <v>1516</v>
      </c>
      <c r="P59" s="7">
        <f>90/91</f>
        <v>0.98901098901098905</v>
      </c>
      <c r="Q59" s="84">
        <v>0</v>
      </c>
      <c r="R59" s="8">
        <v>5.91</v>
      </c>
      <c r="S59" s="8">
        <v>3.71</v>
      </c>
      <c r="Y59" s="12">
        <f>10/91</f>
        <v>0.10989010989010989</v>
      </c>
      <c r="AI59" s="15" t="s">
        <v>551</v>
      </c>
      <c r="AJ59" s="15" t="s">
        <v>549</v>
      </c>
      <c r="AK59" s="15">
        <v>1966</v>
      </c>
      <c r="AL59" s="15" t="s">
        <v>550</v>
      </c>
    </row>
    <row r="60" spans="1:39" x14ac:dyDescent="0.3">
      <c r="A60" s="1">
        <v>91</v>
      </c>
      <c r="D60" s="2">
        <v>0</v>
      </c>
      <c r="F60" s="2">
        <v>2</v>
      </c>
      <c r="G60" s="3">
        <v>6</v>
      </c>
      <c r="K60" s="4">
        <v>1</v>
      </c>
      <c r="L60" s="2">
        <f>L59+365</f>
        <v>1881</v>
      </c>
      <c r="O60" s="17">
        <v>1881</v>
      </c>
      <c r="P60" s="7">
        <f>89/91</f>
        <v>0.97802197802197799</v>
      </c>
      <c r="Q60" s="84">
        <v>0</v>
      </c>
      <c r="R60" s="8">
        <v>5.75</v>
      </c>
      <c r="S60" s="8">
        <v>4.0599999999999996</v>
      </c>
      <c r="AE60" s="80"/>
      <c r="AI60" s="15" t="s">
        <v>551</v>
      </c>
      <c r="AJ60" s="15" t="s">
        <v>549</v>
      </c>
      <c r="AK60" s="15">
        <v>1966</v>
      </c>
      <c r="AL60" s="15" t="s">
        <v>550</v>
      </c>
    </row>
    <row r="61" spans="1:39" x14ac:dyDescent="0.3">
      <c r="A61" s="1">
        <v>91</v>
      </c>
      <c r="D61" s="2">
        <v>0</v>
      </c>
      <c r="F61" s="2">
        <v>0</v>
      </c>
      <c r="K61" s="4">
        <v>2</v>
      </c>
      <c r="L61" s="2">
        <v>730</v>
      </c>
      <c r="N61" s="6">
        <v>5</v>
      </c>
      <c r="O61" s="17">
        <v>730</v>
      </c>
      <c r="P61" s="7">
        <v>0</v>
      </c>
      <c r="Q61" s="84">
        <v>0</v>
      </c>
      <c r="R61" s="8">
        <v>0</v>
      </c>
      <c r="S61" s="8">
        <v>0</v>
      </c>
      <c r="AI61" s="15" t="s">
        <v>551</v>
      </c>
      <c r="AJ61" s="15" t="s">
        <v>549</v>
      </c>
      <c r="AK61" s="15">
        <v>1966</v>
      </c>
      <c r="AL61" s="15" t="s">
        <v>550</v>
      </c>
    </row>
    <row r="62" spans="1:39" x14ac:dyDescent="0.3">
      <c r="A62" s="1">
        <v>91</v>
      </c>
      <c r="D62" s="2">
        <v>0</v>
      </c>
      <c r="F62" s="2">
        <v>1</v>
      </c>
      <c r="G62" s="3">
        <v>5</v>
      </c>
      <c r="K62" s="4">
        <v>2</v>
      </c>
      <c r="L62" s="2">
        <v>786</v>
      </c>
      <c r="N62" s="6">
        <v>5</v>
      </c>
      <c r="Q62" s="84">
        <v>0</v>
      </c>
      <c r="T62" s="9">
        <v>9.59</v>
      </c>
      <c r="U62" s="9">
        <v>4.2</v>
      </c>
      <c r="W62" s="10">
        <v>1</v>
      </c>
      <c r="X62" s="11">
        <v>816</v>
      </c>
      <c r="AE62" s="80"/>
      <c r="AI62" s="15" t="s">
        <v>551</v>
      </c>
      <c r="AJ62" s="15" t="s">
        <v>549</v>
      </c>
      <c r="AK62" s="15">
        <v>1966</v>
      </c>
      <c r="AL62" s="15" t="s">
        <v>550</v>
      </c>
    </row>
    <row r="63" spans="1:39" x14ac:dyDescent="0.3">
      <c r="A63" s="1">
        <v>91</v>
      </c>
      <c r="D63" s="2">
        <v>0</v>
      </c>
      <c r="F63" s="2">
        <v>2</v>
      </c>
      <c r="G63" s="3">
        <v>5</v>
      </c>
      <c r="K63" s="4">
        <v>2</v>
      </c>
      <c r="L63" s="2">
        <f>L62+365</f>
        <v>1151</v>
      </c>
      <c r="O63" s="17">
        <v>1151</v>
      </c>
      <c r="P63" s="7">
        <v>1</v>
      </c>
      <c r="Q63" s="84">
        <v>0</v>
      </c>
      <c r="R63" s="8">
        <v>8.65</v>
      </c>
      <c r="S63" s="8">
        <v>1.61</v>
      </c>
      <c r="AI63" s="15" t="s">
        <v>551</v>
      </c>
      <c r="AJ63" s="15" t="s">
        <v>549</v>
      </c>
      <c r="AK63" s="15">
        <v>1966</v>
      </c>
      <c r="AL63" s="15" t="s">
        <v>550</v>
      </c>
    </row>
    <row r="64" spans="1:39" x14ac:dyDescent="0.3">
      <c r="A64" s="1">
        <v>91</v>
      </c>
      <c r="D64" s="2">
        <v>0</v>
      </c>
      <c r="F64" s="2">
        <v>2</v>
      </c>
      <c r="G64" s="3">
        <v>5</v>
      </c>
      <c r="K64" s="4">
        <v>2</v>
      </c>
      <c r="L64" s="2">
        <f>L63+365</f>
        <v>1516</v>
      </c>
      <c r="O64" s="17">
        <v>1516</v>
      </c>
      <c r="P64" s="7">
        <v>1</v>
      </c>
      <c r="Q64" s="84">
        <v>0</v>
      </c>
      <c r="R64" s="8">
        <v>8.4700000000000006</v>
      </c>
      <c r="S64" s="8">
        <v>1.88</v>
      </c>
      <c r="Y64" s="12">
        <f>12/91</f>
        <v>0.13186813186813187</v>
      </c>
      <c r="AE64" s="80"/>
      <c r="AI64" s="15" t="s">
        <v>551</v>
      </c>
      <c r="AJ64" s="15" t="s">
        <v>549</v>
      </c>
      <c r="AK64" s="15">
        <v>1966</v>
      </c>
      <c r="AL64" s="15" t="s">
        <v>550</v>
      </c>
    </row>
    <row r="65" spans="1:38" x14ac:dyDescent="0.3">
      <c r="A65" s="1">
        <v>91</v>
      </c>
      <c r="D65" s="2">
        <v>0</v>
      </c>
      <c r="F65" s="2">
        <v>2</v>
      </c>
      <c r="G65" s="3">
        <v>5</v>
      </c>
      <c r="K65" s="4">
        <v>2</v>
      </c>
      <c r="L65" s="2">
        <f>L64+365</f>
        <v>1881</v>
      </c>
      <c r="O65" s="17">
        <v>1881</v>
      </c>
      <c r="P65" s="7">
        <v>1</v>
      </c>
      <c r="Q65" s="84">
        <v>0</v>
      </c>
      <c r="R65" s="8">
        <v>8.3800000000000008</v>
      </c>
      <c r="S65" s="8">
        <v>1.78</v>
      </c>
      <c r="AI65" s="15" t="s">
        <v>551</v>
      </c>
      <c r="AJ65" s="15" t="s">
        <v>549</v>
      </c>
      <c r="AK65" s="15">
        <v>1966</v>
      </c>
      <c r="AL65" s="15" t="s">
        <v>550</v>
      </c>
    </row>
    <row r="66" spans="1:38" x14ac:dyDescent="0.3">
      <c r="A66" s="1">
        <v>91</v>
      </c>
      <c r="D66" s="2">
        <v>0</v>
      </c>
      <c r="F66" s="2">
        <v>0</v>
      </c>
      <c r="K66" s="4">
        <v>3</v>
      </c>
      <c r="L66" s="2">
        <v>730</v>
      </c>
      <c r="N66" s="6">
        <v>5.5</v>
      </c>
      <c r="O66" s="17">
        <v>730</v>
      </c>
      <c r="P66" s="7">
        <v>0</v>
      </c>
      <c r="Q66" s="84">
        <v>0</v>
      </c>
      <c r="R66" s="8">
        <v>0</v>
      </c>
      <c r="S66" s="8">
        <v>0</v>
      </c>
      <c r="AE66" s="80"/>
      <c r="AI66" s="15" t="s">
        <v>551</v>
      </c>
      <c r="AJ66" s="15" t="s">
        <v>549</v>
      </c>
      <c r="AK66" s="15">
        <v>1966</v>
      </c>
      <c r="AL66" s="15" t="s">
        <v>550</v>
      </c>
    </row>
    <row r="67" spans="1:38" x14ac:dyDescent="0.3">
      <c r="A67" s="1">
        <v>91</v>
      </c>
      <c r="D67" s="2">
        <v>0</v>
      </c>
      <c r="F67" s="2">
        <v>1</v>
      </c>
      <c r="G67" s="3">
        <v>5.5</v>
      </c>
      <c r="K67" s="4">
        <v>3</v>
      </c>
      <c r="L67" s="2">
        <v>786</v>
      </c>
      <c r="N67" s="6">
        <v>5.5</v>
      </c>
      <c r="Q67" s="84">
        <v>0</v>
      </c>
      <c r="T67" s="9">
        <v>8.8699999999999992</v>
      </c>
      <c r="U67" s="9">
        <v>1.5</v>
      </c>
      <c r="W67" s="10">
        <v>1</v>
      </c>
      <c r="X67" s="11">
        <v>816</v>
      </c>
      <c r="AI67" s="15" t="s">
        <v>551</v>
      </c>
      <c r="AJ67" s="15" t="s">
        <v>549</v>
      </c>
      <c r="AK67" s="15">
        <v>1966</v>
      </c>
      <c r="AL67" s="15" t="s">
        <v>550</v>
      </c>
    </row>
    <row r="68" spans="1:38" x14ac:dyDescent="0.3">
      <c r="A68" s="1">
        <v>91</v>
      </c>
      <c r="D68" s="2">
        <v>0</v>
      </c>
      <c r="F68" s="2">
        <v>2</v>
      </c>
      <c r="G68" s="3">
        <v>5.5</v>
      </c>
      <c r="K68" s="4">
        <v>3</v>
      </c>
      <c r="L68" s="2">
        <f>L67+365</f>
        <v>1151</v>
      </c>
      <c r="O68" s="17">
        <v>1151</v>
      </c>
      <c r="P68" s="7">
        <v>1</v>
      </c>
      <c r="Q68" s="84">
        <v>0</v>
      </c>
      <c r="R68" s="8">
        <v>7.35</v>
      </c>
      <c r="S68" s="8">
        <v>2.93</v>
      </c>
      <c r="AE68" s="80"/>
      <c r="AI68" s="15" t="s">
        <v>551</v>
      </c>
      <c r="AJ68" s="15" t="s">
        <v>549</v>
      </c>
      <c r="AK68" s="15">
        <v>1966</v>
      </c>
      <c r="AL68" s="15" t="s">
        <v>550</v>
      </c>
    </row>
    <row r="69" spans="1:38" x14ac:dyDescent="0.3">
      <c r="A69" s="1">
        <v>91</v>
      </c>
      <c r="D69" s="2">
        <v>0</v>
      </c>
      <c r="F69" s="2">
        <v>2</v>
      </c>
      <c r="G69" s="3">
        <v>5.5</v>
      </c>
      <c r="K69" s="4">
        <v>3</v>
      </c>
      <c r="L69" s="2">
        <f>L68+365</f>
        <v>1516</v>
      </c>
      <c r="O69" s="17">
        <v>1516</v>
      </c>
      <c r="P69" s="7">
        <f>90/91</f>
        <v>0.98901098901098905</v>
      </c>
      <c r="Q69" s="84">
        <v>0</v>
      </c>
      <c r="R69" s="8">
        <v>6.76</v>
      </c>
      <c r="S69" s="8">
        <v>3.3</v>
      </c>
      <c r="Y69" s="12">
        <f>15/91</f>
        <v>0.16483516483516483</v>
      </c>
      <c r="AI69" s="15" t="s">
        <v>551</v>
      </c>
      <c r="AJ69" s="15" t="s">
        <v>549</v>
      </c>
      <c r="AK69" s="15">
        <v>1966</v>
      </c>
      <c r="AL69" s="15" t="s">
        <v>550</v>
      </c>
    </row>
    <row r="70" spans="1:38" x14ac:dyDescent="0.3">
      <c r="A70" s="1">
        <v>91</v>
      </c>
      <c r="D70" s="2">
        <v>0</v>
      </c>
      <c r="F70" s="2">
        <v>2</v>
      </c>
      <c r="G70" s="3">
        <v>5.5</v>
      </c>
      <c r="K70" s="4">
        <v>3</v>
      </c>
      <c r="L70" s="2">
        <f>L69+365</f>
        <v>1881</v>
      </c>
      <c r="O70" s="17">
        <v>1881</v>
      </c>
      <c r="P70" s="7">
        <f>88/91</f>
        <v>0.96703296703296704</v>
      </c>
      <c r="Q70" s="84">
        <v>0</v>
      </c>
      <c r="R70" s="8">
        <v>6.86</v>
      </c>
      <c r="S70" s="8">
        <v>3.55</v>
      </c>
      <c r="AI70" s="15" t="s">
        <v>551</v>
      </c>
      <c r="AJ70" s="15" t="s">
        <v>549</v>
      </c>
      <c r="AK70" s="15">
        <v>1966</v>
      </c>
      <c r="AL70" s="15" t="s">
        <v>550</v>
      </c>
    </row>
    <row r="71" spans="1:38" x14ac:dyDescent="0.3">
      <c r="A71" s="1">
        <v>75</v>
      </c>
      <c r="D71" s="2">
        <v>3</v>
      </c>
      <c r="E71" s="2">
        <v>40</v>
      </c>
      <c r="F71" s="2">
        <v>0</v>
      </c>
      <c r="K71" s="4">
        <v>1</v>
      </c>
      <c r="L71" s="2">
        <v>390</v>
      </c>
      <c r="M71" s="5">
        <v>40</v>
      </c>
      <c r="O71" s="17">
        <v>390</v>
      </c>
      <c r="Q71" s="84">
        <v>0</v>
      </c>
      <c r="R71" s="8">
        <v>6.73</v>
      </c>
      <c r="S71" s="8">
        <v>6.38</v>
      </c>
      <c r="T71" s="9">
        <v>11.31</v>
      </c>
      <c r="U71" s="9">
        <v>1.28</v>
      </c>
      <c r="X71" s="11">
        <v>420</v>
      </c>
      <c r="AI71" s="15" t="s">
        <v>552</v>
      </c>
      <c r="AJ71" s="15" t="s">
        <v>554</v>
      </c>
      <c r="AK71" s="15">
        <v>2002</v>
      </c>
      <c r="AL71" s="15" t="s">
        <v>555</v>
      </c>
    </row>
    <row r="72" spans="1:38" x14ac:dyDescent="0.3">
      <c r="A72" s="1">
        <v>75</v>
      </c>
      <c r="D72" s="2">
        <v>4</v>
      </c>
      <c r="E72" s="2">
        <v>40</v>
      </c>
      <c r="F72" s="2">
        <v>0</v>
      </c>
      <c r="K72" s="4">
        <v>1</v>
      </c>
      <c r="L72" s="2">
        <v>2008</v>
      </c>
      <c r="O72" s="17">
        <v>2008</v>
      </c>
      <c r="Q72" s="84">
        <v>0</v>
      </c>
      <c r="R72" s="8">
        <v>6.79</v>
      </c>
      <c r="S72" s="8">
        <v>6.81</v>
      </c>
      <c r="AI72" s="15" t="s">
        <v>552</v>
      </c>
      <c r="AJ72" s="15" t="s">
        <v>554</v>
      </c>
      <c r="AK72" s="15">
        <v>2002</v>
      </c>
      <c r="AL72" s="15" t="s">
        <v>555</v>
      </c>
    </row>
    <row r="73" spans="1:38" x14ac:dyDescent="0.3">
      <c r="A73" s="1">
        <v>80</v>
      </c>
      <c r="D73" s="2">
        <v>2</v>
      </c>
      <c r="E73" s="2">
        <v>40</v>
      </c>
      <c r="F73" s="2">
        <v>0</v>
      </c>
      <c r="K73" s="4">
        <v>1</v>
      </c>
      <c r="L73" s="2">
        <v>360</v>
      </c>
      <c r="M73" s="5">
        <v>40</v>
      </c>
      <c r="O73" s="17">
        <v>360</v>
      </c>
      <c r="Q73" s="84">
        <v>0</v>
      </c>
      <c r="R73" s="8">
        <v>5.01</v>
      </c>
      <c r="S73" s="8">
        <v>8.2100000000000009</v>
      </c>
      <c r="T73" s="9">
        <v>11.14</v>
      </c>
      <c r="U73" s="9">
        <v>1.72</v>
      </c>
      <c r="X73" s="11">
        <v>390</v>
      </c>
      <c r="AI73" s="15" t="s">
        <v>553</v>
      </c>
      <c r="AJ73" s="15" t="s">
        <v>554</v>
      </c>
      <c r="AK73" s="15">
        <v>2002</v>
      </c>
      <c r="AL73" s="15" t="s">
        <v>555</v>
      </c>
    </row>
    <row r="74" spans="1:38" x14ac:dyDescent="0.3">
      <c r="A74" s="1">
        <v>80</v>
      </c>
      <c r="D74" s="2">
        <v>3</v>
      </c>
      <c r="E74" s="2">
        <v>40</v>
      </c>
      <c r="F74" s="2">
        <v>0</v>
      </c>
      <c r="H74" s="68"/>
      <c r="I74" s="69"/>
      <c r="J74" s="69"/>
      <c r="K74" s="4">
        <v>1</v>
      </c>
      <c r="L74" s="2">
        <v>2008</v>
      </c>
      <c r="O74" s="17">
        <v>2008</v>
      </c>
      <c r="Q74" s="84">
        <v>0</v>
      </c>
      <c r="R74" s="8">
        <v>6.48</v>
      </c>
      <c r="S74" s="8">
        <v>6.87</v>
      </c>
      <c r="AI74" s="15" t="s">
        <v>553</v>
      </c>
      <c r="AJ74" s="15" t="s">
        <v>554</v>
      </c>
      <c r="AK74" s="15">
        <v>2002</v>
      </c>
      <c r="AL74" s="15" t="s">
        <v>555</v>
      </c>
    </row>
    <row r="75" spans="1:38" x14ac:dyDescent="0.3">
      <c r="A75" s="1">
        <v>75</v>
      </c>
      <c r="D75" s="2">
        <v>3</v>
      </c>
      <c r="E75" s="2">
        <v>8</v>
      </c>
      <c r="F75" s="2">
        <v>0</v>
      </c>
      <c r="K75" s="4">
        <v>2</v>
      </c>
      <c r="L75" s="2">
        <v>390</v>
      </c>
      <c r="M75" s="5">
        <v>8</v>
      </c>
      <c r="O75" s="17">
        <v>390</v>
      </c>
      <c r="Q75" s="84">
        <v>0</v>
      </c>
      <c r="R75" s="8">
        <v>7.25</v>
      </c>
      <c r="S75" s="8">
        <v>5.31</v>
      </c>
      <c r="T75" s="9">
        <v>11.22</v>
      </c>
      <c r="U75" s="9">
        <v>1.05</v>
      </c>
      <c r="X75" s="11">
        <v>420</v>
      </c>
      <c r="AI75" s="15" t="s">
        <v>552</v>
      </c>
      <c r="AJ75" s="15" t="s">
        <v>554</v>
      </c>
      <c r="AK75" s="15">
        <v>2002</v>
      </c>
      <c r="AL75" s="15" t="s">
        <v>555</v>
      </c>
    </row>
    <row r="76" spans="1:38" x14ac:dyDescent="0.3">
      <c r="A76" s="1">
        <v>75</v>
      </c>
      <c r="D76" s="2">
        <v>4</v>
      </c>
      <c r="E76" s="2">
        <v>8</v>
      </c>
      <c r="F76" s="2">
        <v>0</v>
      </c>
      <c r="K76" s="4">
        <v>2</v>
      </c>
      <c r="L76" s="2">
        <v>2008</v>
      </c>
      <c r="O76" s="17">
        <v>2008</v>
      </c>
      <c r="Q76" s="84">
        <v>0</v>
      </c>
      <c r="R76" s="8">
        <v>7.35</v>
      </c>
      <c r="S76" s="8">
        <v>4.4400000000000004</v>
      </c>
      <c r="AI76" s="15" t="s">
        <v>552</v>
      </c>
      <c r="AJ76" s="15" t="s">
        <v>554</v>
      </c>
      <c r="AK76" s="15">
        <v>2002</v>
      </c>
      <c r="AL76" s="15" t="s">
        <v>555</v>
      </c>
    </row>
    <row r="77" spans="1:38" x14ac:dyDescent="0.3">
      <c r="A77" s="1">
        <v>80</v>
      </c>
      <c r="D77" s="2">
        <v>2</v>
      </c>
      <c r="E77" s="2">
        <v>8</v>
      </c>
      <c r="F77" s="2">
        <v>0</v>
      </c>
      <c r="H77" s="68"/>
      <c r="I77" s="69"/>
      <c r="J77" s="69"/>
      <c r="K77" s="4">
        <v>2</v>
      </c>
      <c r="L77" s="2">
        <v>360</v>
      </c>
      <c r="M77" s="5">
        <v>8</v>
      </c>
      <c r="O77" s="17">
        <v>360</v>
      </c>
      <c r="Q77" s="84">
        <v>0</v>
      </c>
      <c r="R77" s="8">
        <v>5.96</v>
      </c>
      <c r="S77" s="8">
        <v>6.29</v>
      </c>
      <c r="T77" s="9">
        <v>11.5</v>
      </c>
      <c r="U77" s="9">
        <v>0.73</v>
      </c>
      <c r="X77" s="11">
        <v>390</v>
      </c>
      <c r="AI77" s="15" t="s">
        <v>553</v>
      </c>
      <c r="AJ77" s="15" t="s">
        <v>554</v>
      </c>
      <c r="AK77" s="15">
        <v>2002</v>
      </c>
      <c r="AL77" s="15" t="s">
        <v>555</v>
      </c>
    </row>
    <row r="78" spans="1:38" x14ac:dyDescent="0.3">
      <c r="A78" s="1">
        <v>80</v>
      </c>
      <c r="D78" s="2">
        <v>3</v>
      </c>
      <c r="E78" s="2">
        <v>8</v>
      </c>
      <c r="F78" s="2">
        <v>0</v>
      </c>
      <c r="K78" s="4">
        <v>2</v>
      </c>
      <c r="L78" s="2">
        <v>2008</v>
      </c>
      <c r="O78" s="17">
        <v>2008</v>
      </c>
      <c r="Q78" s="84">
        <v>0</v>
      </c>
      <c r="R78" s="8">
        <v>7.41</v>
      </c>
      <c r="S78" s="8">
        <v>5.47</v>
      </c>
      <c r="AI78" s="15" t="s">
        <v>553</v>
      </c>
      <c r="AJ78" s="15" t="s">
        <v>554</v>
      </c>
      <c r="AK78" s="15">
        <v>2002</v>
      </c>
      <c r="AL78" s="15" t="s">
        <v>555</v>
      </c>
    </row>
    <row r="79" spans="1:38" x14ac:dyDescent="0.3">
      <c r="A79" s="1">
        <v>75</v>
      </c>
      <c r="D79" s="2">
        <v>3</v>
      </c>
      <c r="E79" s="2">
        <v>32</v>
      </c>
      <c r="F79" s="2">
        <v>0</v>
      </c>
      <c r="K79" s="4">
        <v>3</v>
      </c>
      <c r="L79" s="2">
        <v>390</v>
      </c>
      <c r="M79" s="5">
        <v>32</v>
      </c>
      <c r="O79" s="17">
        <v>390</v>
      </c>
      <c r="Q79" s="84">
        <v>0</v>
      </c>
      <c r="R79" s="8">
        <v>7.75</v>
      </c>
      <c r="S79" s="8">
        <v>5.52</v>
      </c>
      <c r="T79" s="9">
        <v>11.75</v>
      </c>
      <c r="U79" s="9">
        <v>0.32</v>
      </c>
      <c r="X79" s="11">
        <v>420</v>
      </c>
      <c r="AI79" s="15" t="s">
        <v>552</v>
      </c>
      <c r="AJ79" s="15" t="s">
        <v>554</v>
      </c>
      <c r="AK79" s="15">
        <v>2002</v>
      </c>
      <c r="AL79" s="15" t="s">
        <v>555</v>
      </c>
    </row>
    <row r="80" spans="1:38" x14ac:dyDescent="0.3">
      <c r="A80" s="1">
        <v>75</v>
      </c>
      <c r="D80" s="2">
        <v>4</v>
      </c>
      <c r="E80" s="2">
        <v>32</v>
      </c>
      <c r="F80" s="2">
        <v>0</v>
      </c>
      <c r="I80" s="69"/>
      <c r="J80" s="69"/>
      <c r="K80" s="4">
        <v>3</v>
      </c>
      <c r="L80" s="2">
        <v>2008</v>
      </c>
      <c r="O80" s="17">
        <v>2008</v>
      </c>
      <c r="Q80" s="84">
        <v>0</v>
      </c>
      <c r="R80" s="8">
        <v>8.09</v>
      </c>
      <c r="S80" s="8">
        <v>2.88</v>
      </c>
      <c r="AI80" s="15" t="s">
        <v>552</v>
      </c>
      <c r="AJ80" s="15" t="s">
        <v>554</v>
      </c>
      <c r="AK80" s="15">
        <v>2002</v>
      </c>
      <c r="AL80" s="15" t="s">
        <v>555</v>
      </c>
    </row>
    <row r="81" spans="1:39" x14ac:dyDescent="0.3">
      <c r="A81" s="1">
        <v>80</v>
      </c>
      <c r="D81" s="2">
        <v>2</v>
      </c>
      <c r="E81" s="2">
        <v>32</v>
      </c>
      <c r="F81" s="2">
        <v>0</v>
      </c>
      <c r="I81" s="69"/>
      <c r="J81" s="69"/>
      <c r="K81" s="4">
        <v>3</v>
      </c>
      <c r="L81" s="2">
        <v>360</v>
      </c>
      <c r="M81" s="5">
        <v>32</v>
      </c>
      <c r="O81" s="17">
        <v>360</v>
      </c>
      <c r="Q81" s="84">
        <v>0</v>
      </c>
      <c r="R81" s="8">
        <v>5.59</v>
      </c>
      <c r="S81" s="8">
        <v>6.79</v>
      </c>
      <c r="T81" s="9">
        <v>11.6</v>
      </c>
      <c r="U81" s="9">
        <v>0.79</v>
      </c>
      <c r="X81" s="11">
        <v>390</v>
      </c>
      <c r="AI81" s="15" t="s">
        <v>553</v>
      </c>
      <c r="AJ81" s="15" t="s">
        <v>554</v>
      </c>
      <c r="AK81" s="15">
        <v>2002</v>
      </c>
      <c r="AL81" s="15" t="s">
        <v>555</v>
      </c>
    </row>
    <row r="82" spans="1:39" x14ac:dyDescent="0.3">
      <c r="A82" s="1">
        <v>80</v>
      </c>
      <c r="D82" s="2">
        <v>3</v>
      </c>
      <c r="E82" s="2">
        <v>32</v>
      </c>
      <c r="F82" s="2">
        <v>0</v>
      </c>
      <c r="K82" s="4">
        <v>3</v>
      </c>
      <c r="L82" s="2">
        <v>2008</v>
      </c>
      <c r="O82" s="17">
        <v>2008</v>
      </c>
      <c r="Q82" s="84">
        <v>0</v>
      </c>
      <c r="R82" s="8">
        <v>6.88</v>
      </c>
      <c r="S82" s="8">
        <v>8.08</v>
      </c>
      <c r="AI82" s="15" t="s">
        <v>553</v>
      </c>
      <c r="AJ82" s="15" t="s">
        <v>554</v>
      </c>
      <c r="AK82" s="15">
        <v>2002</v>
      </c>
      <c r="AL82" s="15" t="s">
        <v>555</v>
      </c>
    </row>
    <row r="83" spans="1:39" x14ac:dyDescent="0.3">
      <c r="A83" s="1">
        <v>52</v>
      </c>
      <c r="B83" s="2">
        <f>142*(1-8/204)</f>
        <v>136.43137254901961</v>
      </c>
      <c r="D83" s="2">
        <v>0</v>
      </c>
      <c r="F83" s="2">
        <v>0</v>
      </c>
      <c r="I83" s="69"/>
      <c r="J83" s="69"/>
      <c r="K83" s="4">
        <v>1</v>
      </c>
      <c r="L83" s="2">
        <v>120</v>
      </c>
      <c r="N83" s="6">
        <v>5.5</v>
      </c>
      <c r="O83" s="17">
        <v>120</v>
      </c>
      <c r="P83" s="7">
        <v>0</v>
      </c>
      <c r="Q83" s="84">
        <v>0</v>
      </c>
      <c r="R83" s="8">
        <v>0</v>
      </c>
      <c r="S83" s="8">
        <v>0</v>
      </c>
      <c r="V83" s="10">
        <f>(45-7)/52</f>
        <v>0.73076923076923073</v>
      </c>
      <c r="W83" s="10">
        <f>(45-7)/52</f>
        <v>0.73076923076923073</v>
      </c>
      <c r="X83" s="11">
        <v>150</v>
      </c>
      <c r="Y83" s="12">
        <f>40/142-8/204</f>
        <v>0.24247445457056063</v>
      </c>
      <c r="AI83" s="15" t="s">
        <v>387</v>
      </c>
      <c r="AJ83" s="15" t="s">
        <v>385</v>
      </c>
      <c r="AK83" s="15">
        <v>1973</v>
      </c>
      <c r="AL83" s="15" t="s">
        <v>386</v>
      </c>
      <c r="AM83" s="15" t="s">
        <v>388</v>
      </c>
    </row>
    <row r="84" spans="1:39" x14ac:dyDescent="0.3">
      <c r="A84" s="1">
        <v>52</v>
      </c>
      <c r="B84" s="2">
        <f>142*(1-21/204)</f>
        <v>127.38235294117648</v>
      </c>
      <c r="D84" s="2">
        <v>0</v>
      </c>
      <c r="F84" s="2">
        <v>0</v>
      </c>
      <c r="I84" s="69"/>
      <c r="J84" s="69"/>
      <c r="K84" s="4">
        <v>2</v>
      </c>
      <c r="L84" s="2">
        <v>120</v>
      </c>
      <c r="N84" s="6">
        <v>5.5</v>
      </c>
      <c r="O84" s="17">
        <v>120</v>
      </c>
      <c r="P84" s="7">
        <v>0</v>
      </c>
      <c r="Q84" s="84">
        <v>0</v>
      </c>
      <c r="R84" s="8">
        <v>0</v>
      </c>
      <c r="S84" s="8">
        <v>0</v>
      </c>
      <c r="V84" s="10">
        <f>(53-13)/52</f>
        <v>0.76923076923076927</v>
      </c>
      <c r="W84" s="10">
        <f>(53-13)/52</f>
        <v>0.76923076923076927</v>
      </c>
      <c r="X84" s="11">
        <v>150</v>
      </c>
      <c r="Y84" s="12">
        <f>59/142-21/204</f>
        <v>0.31255178127589067</v>
      </c>
      <c r="AI84" s="15" t="s">
        <v>387</v>
      </c>
      <c r="AJ84" s="15" t="s">
        <v>385</v>
      </c>
      <c r="AK84" s="15">
        <v>1973</v>
      </c>
      <c r="AL84" s="15" t="s">
        <v>386</v>
      </c>
      <c r="AM84" s="15" t="s">
        <v>388</v>
      </c>
    </row>
    <row r="85" spans="1:39" x14ac:dyDescent="0.3">
      <c r="A85" s="1">
        <v>52</v>
      </c>
      <c r="B85" s="2">
        <f>142*(1-12/204)</f>
        <v>133.64705882352942</v>
      </c>
      <c r="D85" s="2">
        <v>0</v>
      </c>
      <c r="F85" s="2">
        <v>0</v>
      </c>
      <c r="K85" s="4">
        <v>3</v>
      </c>
      <c r="L85" s="2">
        <v>120</v>
      </c>
      <c r="N85" s="6">
        <v>5.5</v>
      </c>
      <c r="O85" s="17">
        <v>120</v>
      </c>
      <c r="P85" s="7">
        <v>0</v>
      </c>
      <c r="Q85" s="84">
        <v>0</v>
      </c>
      <c r="R85" s="8">
        <v>0</v>
      </c>
      <c r="S85" s="8">
        <v>0</v>
      </c>
      <c r="V85" s="10">
        <f>(48-10)/52</f>
        <v>0.73076923076923073</v>
      </c>
      <c r="W85" s="10">
        <f>(48-10)/52</f>
        <v>0.73076923076923073</v>
      </c>
      <c r="X85" s="11">
        <v>150</v>
      </c>
      <c r="Y85" s="12">
        <f>40/142-12/204</f>
        <v>0.22286661143330572</v>
      </c>
      <c r="AI85" s="15" t="s">
        <v>387</v>
      </c>
      <c r="AJ85" s="15" t="s">
        <v>385</v>
      </c>
      <c r="AK85" s="15">
        <v>1973</v>
      </c>
      <c r="AL85" s="15" t="s">
        <v>386</v>
      </c>
      <c r="AM85" s="15" t="s">
        <v>388</v>
      </c>
    </row>
    <row r="86" spans="1:39" x14ac:dyDescent="0.3">
      <c r="A86" s="1">
        <v>0</v>
      </c>
      <c r="B86" s="2">
        <v>124</v>
      </c>
      <c r="D86" s="2">
        <v>0</v>
      </c>
      <c r="F86" s="2">
        <v>0</v>
      </c>
      <c r="K86" s="4">
        <v>1</v>
      </c>
      <c r="L86" s="2">
        <v>2190</v>
      </c>
      <c r="Y86" s="12">
        <v>1</v>
      </c>
      <c r="AH86" s="80" t="s">
        <v>402</v>
      </c>
      <c r="AI86" s="15" t="s">
        <v>410</v>
      </c>
      <c r="AJ86" s="15" t="s">
        <v>408</v>
      </c>
      <c r="AK86" s="15">
        <v>1958</v>
      </c>
      <c r="AL86" s="15" t="s">
        <v>409</v>
      </c>
    </row>
    <row r="87" spans="1:39" x14ac:dyDescent="0.3">
      <c r="A87" s="1">
        <v>147</v>
      </c>
      <c r="D87" s="2">
        <v>0</v>
      </c>
      <c r="F87" s="2">
        <v>0</v>
      </c>
      <c r="H87" s="2">
        <v>42</v>
      </c>
      <c r="I87" s="3">
        <v>4.8</v>
      </c>
      <c r="J87" s="3">
        <v>0.4</v>
      </c>
      <c r="K87" s="4">
        <v>1</v>
      </c>
      <c r="L87" s="2">
        <v>42</v>
      </c>
      <c r="M87" s="5">
        <v>40</v>
      </c>
      <c r="O87" s="17">
        <v>42</v>
      </c>
      <c r="Q87" s="84">
        <v>0</v>
      </c>
      <c r="R87" s="8">
        <v>4.8</v>
      </c>
      <c r="S87" s="8">
        <v>0.4</v>
      </c>
      <c r="AI87" s="15" t="s">
        <v>503</v>
      </c>
      <c r="AJ87" s="15" t="s">
        <v>501</v>
      </c>
      <c r="AK87" s="15">
        <v>2007</v>
      </c>
      <c r="AL87" s="15" t="s">
        <v>502</v>
      </c>
    </row>
    <row r="88" spans="1:39" x14ac:dyDescent="0.3">
      <c r="A88" s="1">
        <v>147</v>
      </c>
      <c r="D88" s="2">
        <v>1</v>
      </c>
      <c r="E88" s="2">
        <v>40</v>
      </c>
      <c r="F88" s="2">
        <v>0</v>
      </c>
      <c r="H88" s="2">
        <v>42</v>
      </c>
      <c r="I88" s="3">
        <v>4.8</v>
      </c>
      <c r="J88" s="3">
        <v>0.4</v>
      </c>
      <c r="K88" s="4">
        <v>1</v>
      </c>
      <c r="L88" s="2">
        <v>70</v>
      </c>
      <c r="M88" s="5">
        <v>40</v>
      </c>
      <c r="Q88" s="84">
        <v>0</v>
      </c>
      <c r="AI88" s="15" t="s">
        <v>503</v>
      </c>
      <c r="AJ88" s="15" t="s">
        <v>501</v>
      </c>
      <c r="AK88" s="15">
        <v>2007</v>
      </c>
      <c r="AL88" s="15" t="s">
        <v>502</v>
      </c>
    </row>
    <row r="89" spans="1:39" x14ac:dyDescent="0.3">
      <c r="A89" s="1">
        <v>147</v>
      </c>
      <c r="D89" s="2">
        <v>2</v>
      </c>
      <c r="E89" s="2">
        <v>40</v>
      </c>
      <c r="F89" s="2">
        <v>0</v>
      </c>
      <c r="H89" s="2">
        <v>42</v>
      </c>
      <c r="I89" s="3">
        <v>4.8</v>
      </c>
      <c r="J89" s="3">
        <v>0.4</v>
      </c>
      <c r="K89" s="4">
        <v>1</v>
      </c>
      <c r="L89" s="2">
        <v>98</v>
      </c>
      <c r="M89" s="5">
        <v>40</v>
      </c>
      <c r="Q89" s="84">
        <v>0</v>
      </c>
      <c r="T89" s="9">
        <v>7.8</v>
      </c>
      <c r="U89" s="9">
        <v>3.9</v>
      </c>
      <c r="W89" s="10">
        <v>0.98599999999999999</v>
      </c>
      <c r="X89" s="11">
        <v>133</v>
      </c>
      <c r="AI89" s="15" t="s">
        <v>503</v>
      </c>
      <c r="AJ89" s="15" t="s">
        <v>501</v>
      </c>
      <c r="AK89" s="15">
        <v>2007</v>
      </c>
      <c r="AL89" s="15" t="s">
        <v>502</v>
      </c>
    </row>
    <row r="90" spans="1:39" x14ac:dyDescent="0.3">
      <c r="A90" s="1">
        <v>78</v>
      </c>
      <c r="D90" s="2">
        <v>0</v>
      </c>
      <c r="F90" s="2">
        <v>0</v>
      </c>
      <c r="H90" s="2">
        <v>42</v>
      </c>
      <c r="I90" s="3">
        <v>7</v>
      </c>
      <c r="J90" s="3">
        <v>1</v>
      </c>
      <c r="K90" s="4">
        <v>1</v>
      </c>
      <c r="L90" s="2">
        <v>42</v>
      </c>
      <c r="M90" s="5">
        <v>40</v>
      </c>
      <c r="O90" s="17">
        <v>42</v>
      </c>
      <c r="Q90" s="84">
        <v>0</v>
      </c>
      <c r="R90" s="8">
        <v>7</v>
      </c>
      <c r="S90" s="8">
        <v>1</v>
      </c>
      <c r="AI90" s="15" t="s">
        <v>505</v>
      </c>
      <c r="AJ90" s="15" t="s">
        <v>501</v>
      </c>
      <c r="AK90" s="15">
        <v>2007</v>
      </c>
      <c r="AL90" s="15" t="s">
        <v>502</v>
      </c>
    </row>
    <row r="91" spans="1:39" x14ac:dyDescent="0.3">
      <c r="A91" s="1">
        <v>78</v>
      </c>
      <c r="D91" s="2">
        <v>1</v>
      </c>
      <c r="E91" s="2">
        <v>40</v>
      </c>
      <c r="F91" s="2">
        <v>0</v>
      </c>
      <c r="H91" s="2">
        <v>42</v>
      </c>
      <c r="I91" s="3">
        <v>7</v>
      </c>
      <c r="J91" s="3">
        <v>1</v>
      </c>
      <c r="K91" s="4">
        <v>1</v>
      </c>
      <c r="L91" s="2">
        <v>70</v>
      </c>
      <c r="M91" s="5">
        <v>40</v>
      </c>
      <c r="Q91" s="84">
        <v>0</v>
      </c>
      <c r="AI91" s="15" t="s">
        <v>505</v>
      </c>
      <c r="AJ91" s="15" t="s">
        <v>501</v>
      </c>
      <c r="AK91" s="15">
        <v>2007</v>
      </c>
      <c r="AL91" s="15" t="s">
        <v>502</v>
      </c>
    </row>
    <row r="92" spans="1:39" x14ac:dyDescent="0.3">
      <c r="A92" s="1">
        <v>78</v>
      </c>
      <c r="D92" s="2">
        <v>2</v>
      </c>
      <c r="E92" s="2">
        <v>40</v>
      </c>
      <c r="F92" s="2">
        <v>0</v>
      </c>
      <c r="H92" s="2">
        <v>42</v>
      </c>
      <c r="I92" s="3">
        <v>7</v>
      </c>
      <c r="J92" s="3">
        <v>1</v>
      </c>
      <c r="K92" s="4">
        <v>1</v>
      </c>
      <c r="L92" s="2">
        <v>98</v>
      </c>
      <c r="M92" s="5">
        <v>40</v>
      </c>
      <c r="Q92" s="84">
        <v>0</v>
      </c>
      <c r="T92" s="9">
        <v>6.8</v>
      </c>
      <c r="U92" s="9">
        <v>3.9</v>
      </c>
      <c r="W92" s="10">
        <v>0.61499999999999999</v>
      </c>
      <c r="X92" s="11">
        <v>133</v>
      </c>
      <c r="AI92" s="15" t="s">
        <v>505</v>
      </c>
      <c r="AJ92" s="15" t="s">
        <v>501</v>
      </c>
      <c r="AK92" s="15">
        <v>2007</v>
      </c>
      <c r="AL92" s="15" t="s">
        <v>502</v>
      </c>
    </row>
    <row r="93" spans="1:39" x14ac:dyDescent="0.3">
      <c r="A93" s="1">
        <v>170</v>
      </c>
      <c r="D93" s="2">
        <v>0</v>
      </c>
      <c r="F93" s="2">
        <v>0</v>
      </c>
      <c r="H93" s="2">
        <v>56</v>
      </c>
      <c r="I93" s="3">
        <v>3.8</v>
      </c>
      <c r="J93" s="3">
        <v>0.7</v>
      </c>
      <c r="K93" s="4">
        <v>1</v>
      </c>
      <c r="L93" s="2">
        <v>56</v>
      </c>
      <c r="M93" s="5">
        <v>40</v>
      </c>
      <c r="O93" s="17">
        <v>56</v>
      </c>
      <c r="Q93" s="84">
        <v>0</v>
      </c>
      <c r="R93" s="8">
        <v>3.8</v>
      </c>
      <c r="S93" s="8">
        <v>0.7</v>
      </c>
      <c r="AI93" s="15" t="s">
        <v>504</v>
      </c>
      <c r="AJ93" s="15" t="s">
        <v>501</v>
      </c>
      <c r="AK93" s="15">
        <v>2007</v>
      </c>
      <c r="AL93" s="15" t="s">
        <v>502</v>
      </c>
    </row>
    <row r="94" spans="1:39" x14ac:dyDescent="0.3">
      <c r="A94" s="1">
        <v>170</v>
      </c>
      <c r="D94" s="2">
        <v>1</v>
      </c>
      <c r="E94" s="2">
        <v>40</v>
      </c>
      <c r="F94" s="2">
        <v>0</v>
      </c>
      <c r="H94" s="2">
        <v>56</v>
      </c>
      <c r="I94" s="3">
        <v>3.8</v>
      </c>
      <c r="J94" s="3">
        <v>0.7</v>
      </c>
      <c r="K94" s="4">
        <v>1</v>
      </c>
      <c r="L94" s="2">
        <v>112</v>
      </c>
      <c r="M94" s="5">
        <v>40</v>
      </c>
      <c r="Q94" s="84">
        <v>0</v>
      </c>
      <c r="AI94" s="15" t="s">
        <v>504</v>
      </c>
      <c r="AJ94" s="15" t="s">
        <v>501</v>
      </c>
      <c r="AK94" s="15">
        <v>2007</v>
      </c>
      <c r="AL94" s="15" t="s">
        <v>502</v>
      </c>
    </row>
    <row r="95" spans="1:39" x14ac:dyDescent="0.3">
      <c r="A95" s="1">
        <v>170</v>
      </c>
      <c r="D95" s="2">
        <v>2</v>
      </c>
      <c r="E95" s="2">
        <v>40</v>
      </c>
      <c r="F95" s="2">
        <v>0</v>
      </c>
      <c r="H95" s="2">
        <v>56</v>
      </c>
      <c r="I95" s="3">
        <v>3.8</v>
      </c>
      <c r="J95" s="3">
        <v>0.7</v>
      </c>
      <c r="K95" s="4">
        <v>1</v>
      </c>
      <c r="L95" s="2">
        <v>168</v>
      </c>
      <c r="M95" s="5">
        <v>40</v>
      </c>
      <c r="Q95" s="84">
        <v>0</v>
      </c>
      <c r="T95" s="9">
        <v>9.5</v>
      </c>
      <c r="U95" s="9">
        <v>1.6</v>
      </c>
      <c r="W95" s="10">
        <v>1</v>
      </c>
      <c r="X95" s="11">
        <v>203</v>
      </c>
      <c r="AI95" s="15" t="s">
        <v>504</v>
      </c>
      <c r="AJ95" s="15" t="s">
        <v>501</v>
      </c>
      <c r="AK95" s="15">
        <v>2007</v>
      </c>
      <c r="AL95" s="15" t="s">
        <v>502</v>
      </c>
    </row>
    <row r="96" spans="1:39" x14ac:dyDescent="0.3">
      <c r="A96" s="1">
        <v>60</v>
      </c>
      <c r="D96" s="2">
        <v>0</v>
      </c>
      <c r="F96" s="2">
        <v>0</v>
      </c>
      <c r="H96" s="2">
        <v>56</v>
      </c>
      <c r="I96" s="3">
        <v>7</v>
      </c>
      <c r="J96" s="3">
        <v>1</v>
      </c>
      <c r="K96" s="4">
        <v>1</v>
      </c>
      <c r="L96" s="2">
        <v>56</v>
      </c>
      <c r="M96" s="5">
        <v>40</v>
      </c>
      <c r="O96" s="17">
        <v>56</v>
      </c>
      <c r="Q96" s="84">
        <v>0</v>
      </c>
      <c r="R96" s="8">
        <v>7</v>
      </c>
      <c r="S96" s="8">
        <v>1</v>
      </c>
      <c r="AI96" s="15" t="s">
        <v>506</v>
      </c>
      <c r="AJ96" s="15" t="s">
        <v>501</v>
      </c>
      <c r="AK96" s="15">
        <v>2007</v>
      </c>
      <c r="AL96" s="15" t="s">
        <v>502</v>
      </c>
    </row>
    <row r="97" spans="1:38" x14ac:dyDescent="0.3">
      <c r="A97" s="1">
        <v>60</v>
      </c>
      <c r="D97" s="2">
        <v>1</v>
      </c>
      <c r="E97" s="2">
        <v>40</v>
      </c>
      <c r="F97" s="2">
        <v>0</v>
      </c>
      <c r="H97" s="2">
        <v>56</v>
      </c>
      <c r="I97" s="3">
        <v>7</v>
      </c>
      <c r="J97" s="3">
        <v>1</v>
      </c>
      <c r="K97" s="4">
        <v>1</v>
      </c>
      <c r="L97" s="2">
        <v>112</v>
      </c>
      <c r="M97" s="5">
        <v>40</v>
      </c>
      <c r="Q97" s="84">
        <v>0</v>
      </c>
      <c r="AE97" s="80"/>
      <c r="AI97" s="15" t="s">
        <v>506</v>
      </c>
      <c r="AJ97" s="15" t="s">
        <v>501</v>
      </c>
      <c r="AK97" s="15">
        <v>2007</v>
      </c>
      <c r="AL97" s="15" t="s">
        <v>502</v>
      </c>
    </row>
    <row r="98" spans="1:38" x14ac:dyDescent="0.3">
      <c r="A98" s="1">
        <v>60</v>
      </c>
      <c r="D98" s="2">
        <v>2</v>
      </c>
      <c r="E98" s="2">
        <v>40</v>
      </c>
      <c r="F98" s="2">
        <v>0</v>
      </c>
      <c r="H98" s="2">
        <v>56</v>
      </c>
      <c r="I98" s="3">
        <v>7</v>
      </c>
      <c r="J98" s="3">
        <v>1</v>
      </c>
      <c r="K98" s="4">
        <v>1</v>
      </c>
      <c r="L98" s="2">
        <v>168</v>
      </c>
      <c r="M98" s="5">
        <v>40</v>
      </c>
      <c r="Q98" s="84">
        <v>0</v>
      </c>
      <c r="T98" s="9">
        <v>8.8000000000000007</v>
      </c>
      <c r="U98" s="9">
        <v>1.6</v>
      </c>
      <c r="W98" s="10">
        <v>0.98299999999999998</v>
      </c>
      <c r="X98" s="11">
        <v>203</v>
      </c>
      <c r="AI98" s="15" t="s">
        <v>506</v>
      </c>
      <c r="AJ98" s="15" t="s">
        <v>501</v>
      </c>
      <c r="AK98" s="15">
        <v>2007</v>
      </c>
      <c r="AL98" s="15" t="s">
        <v>502</v>
      </c>
    </row>
    <row r="99" spans="1:38" x14ac:dyDescent="0.3">
      <c r="A99" s="1">
        <v>172</v>
      </c>
      <c r="D99" s="2">
        <v>0</v>
      </c>
      <c r="F99" s="2">
        <v>0</v>
      </c>
      <c r="H99" s="2">
        <v>42</v>
      </c>
      <c r="I99" s="3">
        <v>4.5</v>
      </c>
      <c r="J99" s="3">
        <v>0.5</v>
      </c>
      <c r="K99" s="4">
        <v>2</v>
      </c>
      <c r="L99" s="2">
        <v>42</v>
      </c>
      <c r="M99" s="5">
        <v>8</v>
      </c>
      <c r="O99" s="17">
        <v>42</v>
      </c>
      <c r="Q99" s="84">
        <v>0</v>
      </c>
      <c r="R99" s="8">
        <v>4.5</v>
      </c>
      <c r="S99" s="8">
        <v>0.5</v>
      </c>
      <c r="AE99" s="80"/>
      <c r="AI99" s="15" t="s">
        <v>503</v>
      </c>
      <c r="AJ99" s="15" t="s">
        <v>501</v>
      </c>
      <c r="AK99" s="15">
        <v>2007</v>
      </c>
      <c r="AL99" s="15" t="s">
        <v>502</v>
      </c>
    </row>
    <row r="100" spans="1:38" x14ac:dyDescent="0.3">
      <c r="A100" s="1">
        <v>172</v>
      </c>
      <c r="D100" s="2">
        <v>1</v>
      </c>
      <c r="E100" s="2">
        <v>8</v>
      </c>
      <c r="F100" s="2">
        <v>0</v>
      </c>
      <c r="H100" s="2">
        <v>42</v>
      </c>
      <c r="I100" s="3">
        <v>4.5</v>
      </c>
      <c r="J100" s="3">
        <v>0.5</v>
      </c>
      <c r="K100" s="4">
        <v>2</v>
      </c>
      <c r="L100" s="2">
        <v>70</v>
      </c>
      <c r="M100" s="5">
        <v>8</v>
      </c>
      <c r="Q100" s="84">
        <v>0</v>
      </c>
      <c r="AI100" s="15" t="s">
        <v>503</v>
      </c>
      <c r="AJ100" s="15" t="s">
        <v>501</v>
      </c>
      <c r="AK100" s="15">
        <v>2007</v>
      </c>
      <c r="AL100" s="15" t="s">
        <v>502</v>
      </c>
    </row>
    <row r="101" spans="1:38" x14ac:dyDescent="0.3">
      <c r="A101" s="1">
        <v>172</v>
      </c>
      <c r="D101" s="2">
        <v>2</v>
      </c>
      <c r="E101" s="2">
        <v>8</v>
      </c>
      <c r="F101" s="2">
        <v>0</v>
      </c>
      <c r="H101" s="2">
        <v>42</v>
      </c>
      <c r="I101" s="3">
        <v>4.5</v>
      </c>
      <c r="J101" s="3">
        <v>0.5</v>
      </c>
      <c r="K101" s="4">
        <v>2</v>
      </c>
      <c r="L101" s="2">
        <v>98</v>
      </c>
      <c r="M101" s="5">
        <v>8</v>
      </c>
      <c r="Q101" s="84">
        <v>0</v>
      </c>
      <c r="T101" s="9">
        <v>7.5</v>
      </c>
      <c r="U101" s="9">
        <v>3.7</v>
      </c>
      <c r="W101" s="10">
        <v>0.96499999999999997</v>
      </c>
      <c r="X101" s="11">
        <v>133</v>
      </c>
      <c r="AE101" s="80"/>
      <c r="AI101" s="15" t="s">
        <v>503</v>
      </c>
      <c r="AJ101" s="15" t="s">
        <v>501</v>
      </c>
      <c r="AK101" s="15">
        <v>2007</v>
      </c>
      <c r="AL101" s="15" t="s">
        <v>502</v>
      </c>
    </row>
    <row r="102" spans="1:38" x14ac:dyDescent="0.3">
      <c r="A102" s="1">
        <v>53</v>
      </c>
      <c r="D102" s="2">
        <v>0</v>
      </c>
      <c r="F102" s="2">
        <v>0</v>
      </c>
      <c r="H102" s="2">
        <v>42</v>
      </c>
      <c r="I102" s="3">
        <v>7</v>
      </c>
      <c r="J102" s="3">
        <v>1</v>
      </c>
      <c r="K102" s="4">
        <v>2</v>
      </c>
      <c r="L102" s="2">
        <v>42</v>
      </c>
      <c r="M102" s="5">
        <v>8</v>
      </c>
      <c r="O102" s="17">
        <v>42</v>
      </c>
      <c r="Q102" s="84">
        <v>0</v>
      </c>
      <c r="R102" s="8">
        <v>7</v>
      </c>
      <c r="S102" s="8">
        <v>1</v>
      </c>
      <c r="AI102" s="15" t="s">
        <v>505</v>
      </c>
      <c r="AJ102" s="15" t="s">
        <v>501</v>
      </c>
      <c r="AK102" s="15">
        <v>2007</v>
      </c>
      <c r="AL102" s="15" t="s">
        <v>502</v>
      </c>
    </row>
    <row r="103" spans="1:38" x14ac:dyDescent="0.3">
      <c r="A103" s="1">
        <v>53</v>
      </c>
      <c r="D103" s="2">
        <v>1</v>
      </c>
      <c r="E103" s="2">
        <v>8</v>
      </c>
      <c r="F103" s="2">
        <v>0</v>
      </c>
      <c r="H103" s="2">
        <v>42</v>
      </c>
      <c r="I103" s="3">
        <v>7</v>
      </c>
      <c r="J103" s="3">
        <v>1</v>
      </c>
      <c r="K103" s="4">
        <v>2</v>
      </c>
      <c r="L103" s="2">
        <v>70</v>
      </c>
      <c r="M103" s="5">
        <v>8</v>
      </c>
      <c r="Q103" s="84">
        <v>0</v>
      </c>
      <c r="AE103" s="80"/>
      <c r="AI103" s="15" t="s">
        <v>505</v>
      </c>
      <c r="AJ103" s="15" t="s">
        <v>501</v>
      </c>
      <c r="AK103" s="15">
        <v>2007</v>
      </c>
      <c r="AL103" s="15" t="s">
        <v>502</v>
      </c>
    </row>
    <row r="104" spans="1:38" x14ac:dyDescent="0.3">
      <c r="A104" s="1">
        <v>53</v>
      </c>
      <c r="D104" s="2">
        <v>2</v>
      </c>
      <c r="E104" s="2">
        <v>8</v>
      </c>
      <c r="F104" s="2">
        <v>0</v>
      </c>
      <c r="H104" s="2">
        <v>42</v>
      </c>
      <c r="I104" s="3">
        <v>7</v>
      </c>
      <c r="J104" s="3">
        <v>1</v>
      </c>
      <c r="K104" s="4">
        <v>2</v>
      </c>
      <c r="L104" s="2">
        <v>98</v>
      </c>
      <c r="M104" s="5">
        <v>8</v>
      </c>
      <c r="Q104" s="84">
        <v>0</v>
      </c>
      <c r="T104" s="9">
        <v>6.5</v>
      </c>
      <c r="U104" s="9">
        <v>3.7</v>
      </c>
      <c r="W104" s="10">
        <v>0.52800000000000002</v>
      </c>
      <c r="X104" s="11">
        <v>133</v>
      </c>
      <c r="AI104" s="15" t="s">
        <v>505</v>
      </c>
      <c r="AJ104" s="15" t="s">
        <v>501</v>
      </c>
      <c r="AK104" s="15">
        <v>2007</v>
      </c>
      <c r="AL104" s="15" t="s">
        <v>502</v>
      </c>
    </row>
    <row r="105" spans="1:38" x14ac:dyDescent="0.3">
      <c r="A105" s="1">
        <v>195</v>
      </c>
      <c r="D105" s="2">
        <v>0</v>
      </c>
      <c r="F105" s="2">
        <v>0</v>
      </c>
      <c r="H105" s="2">
        <v>56</v>
      </c>
      <c r="I105" s="3">
        <v>3.5</v>
      </c>
      <c r="J105" s="3">
        <v>0.3</v>
      </c>
      <c r="K105" s="4">
        <v>2</v>
      </c>
      <c r="L105" s="2">
        <v>56</v>
      </c>
      <c r="M105" s="5">
        <v>8</v>
      </c>
      <c r="O105" s="17">
        <v>56</v>
      </c>
      <c r="Q105" s="84">
        <v>0</v>
      </c>
      <c r="R105" s="8">
        <v>3.5</v>
      </c>
      <c r="S105" s="8">
        <v>0.3</v>
      </c>
      <c r="AE105" s="80"/>
      <c r="AI105" s="15" t="s">
        <v>504</v>
      </c>
      <c r="AJ105" s="15" t="s">
        <v>501</v>
      </c>
      <c r="AK105" s="15">
        <v>2007</v>
      </c>
      <c r="AL105" s="15" t="s">
        <v>502</v>
      </c>
    </row>
    <row r="106" spans="1:38" x14ac:dyDescent="0.3">
      <c r="A106" s="1">
        <v>195</v>
      </c>
      <c r="D106" s="2">
        <v>1</v>
      </c>
      <c r="E106" s="2">
        <v>8</v>
      </c>
      <c r="F106" s="2">
        <v>0</v>
      </c>
      <c r="H106" s="2">
        <v>56</v>
      </c>
      <c r="I106" s="3">
        <v>3.5</v>
      </c>
      <c r="J106" s="3">
        <v>0.3</v>
      </c>
      <c r="K106" s="4">
        <v>2</v>
      </c>
      <c r="L106" s="2">
        <v>112</v>
      </c>
      <c r="M106" s="5">
        <v>8</v>
      </c>
      <c r="Q106" s="84">
        <v>0</v>
      </c>
      <c r="AI106" s="15" t="s">
        <v>504</v>
      </c>
      <c r="AJ106" s="15" t="s">
        <v>501</v>
      </c>
      <c r="AK106" s="15">
        <v>2007</v>
      </c>
      <c r="AL106" s="15" t="s">
        <v>502</v>
      </c>
    </row>
    <row r="107" spans="1:38" x14ac:dyDescent="0.3">
      <c r="A107" s="1">
        <v>195</v>
      </c>
      <c r="D107" s="2">
        <v>2</v>
      </c>
      <c r="E107" s="2">
        <v>8</v>
      </c>
      <c r="F107" s="2">
        <v>0</v>
      </c>
      <c r="H107" s="2">
        <v>56</v>
      </c>
      <c r="I107" s="3">
        <v>3.5</v>
      </c>
      <c r="J107" s="3">
        <v>0.3</v>
      </c>
      <c r="K107" s="4">
        <v>2</v>
      </c>
      <c r="L107" s="2">
        <v>168</v>
      </c>
      <c r="M107" s="5">
        <v>8</v>
      </c>
      <c r="Q107" s="84">
        <v>0</v>
      </c>
      <c r="T107" s="9">
        <v>9.8000000000000007</v>
      </c>
      <c r="U107" s="9">
        <v>1.6</v>
      </c>
      <c r="W107" s="10">
        <v>1</v>
      </c>
      <c r="X107" s="11">
        <v>203</v>
      </c>
      <c r="AE107" s="80"/>
      <c r="AI107" s="15" t="s">
        <v>504</v>
      </c>
      <c r="AJ107" s="15" t="s">
        <v>501</v>
      </c>
      <c r="AK107" s="15">
        <v>2007</v>
      </c>
      <c r="AL107" s="15" t="s">
        <v>502</v>
      </c>
    </row>
    <row r="108" spans="1:38" x14ac:dyDescent="0.3">
      <c r="A108" s="1">
        <v>35</v>
      </c>
      <c r="D108" s="2">
        <v>0</v>
      </c>
      <c r="F108" s="2">
        <v>0</v>
      </c>
      <c r="H108" s="2">
        <v>56</v>
      </c>
      <c r="I108" s="3">
        <v>7</v>
      </c>
      <c r="J108" s="3">
        <v>1</v>
      </c>
      <c r="K108" s="4">
        <v>2</v>
      </c>
      <c r="L108" s="2">
        <v>56</v>
      </c>
      <c r="M108" s="5">
        <v>8</v>
      </c>
      <c r="O108" s="17">
        <v>56</v>
      </c>
      <c r="Q108" s="84">
        <v>0</v>
      </c>
      <c r="R108" s="8">
        <v>7</v>
      </c>
      <c r="S108" s="8">
        <v>1</v>
      </c>
      <c r="AI108" s="15" t="s">
        <v>506</v>
      </c>
      <c r="AJ108" s="15" t="s">
        <v>501</v>
      </c>
      <c r="AK108" s="15">
        <v>2007</v>
      </c>
      <c r="AL108" s="15" t="s">
        <v>502</v>
      </c>
    </row>
    <row r="109" spans="1:38" x14ac:dyDescent="0.3">
      <c r="A109" s="1">
        <v>35</v>
      </c>
      <c r="D109" s="2">
        <v>1</v>
      </c>
      <c r="E109" s="2">
        <v>8</v>
      </c>
      <c r="F109" s="2">
        <v>0</v>
      </c>
      <c r="H109" s="2">
        <v>56</v>
      </c>
      <c r="I109" s="3">
        <v>7</v>
      </c>
      <c r="J109" s="3">
        <v>1</v>
      </c>
      <c r="K109" s="4">
        <v>2</v>
      </c>
      <c r="L109" s="2">
        <v>112</v>
      </c>
      <c r="M109" s="5">
        <v>8</v>
      </c>
      <c r="Q109" s="84">
        <v>0</v>
      </c>
      <c r="AI109" s="15" t="s">
        <v>506</v>
      </c>
      <c r="AJ109" s="15" t="s">
        <v>501</v>
      </c>
      <c r="AK109" s="15">
        <v>2007</v>
      </c>
      <c r="AL109" s="15" t="s">
        <v>502</v>
      </c>
    </row>
    <row r="110" spans="1:38" x14ac:dyDescent="0.3">
      <c r="A110" s="1">
        <v>35</v>
      </c>
      <c r="D110" s="2">
        <v>2</v>
      </c>
      <c r="E110" s="2">
        <v>8</v>
      </c>
      <c r="F110" s="2">
        <v>0</v>
      </c>
      <c r="H110" s="2">
        <v>56</v>
      </c>
      <c r="I110" s="3">
        <v>7</v>
      </c>
      <c r="J110" s="3">
        <v>1</v>
      </c>
      <c r="K110" s="4">
        <v>2</v>
      </c>
      <c r="L110" s="2">
        <v>168</v>
      </c>
      <c r="M110" s="5">
        <v>8</v>
      </c>
      <c r="Q110" s="84">
        <v>0</v>
      </c>
      <c r="T110" s="9">
        <v>9.1999999999999993</v>
      </c>
      <c r="U110" s="9">
        <v>1.6</v>
      </c>
      <c r="W110" s="10">
        <v>1</v>
      </c>
      <c r="X110" s="11">
        <v>203</v>
      </c>
      <c r="AI110" s="15" t="s">
        <v>506</v>
      </c>
      <c r="AJ110" s="15" t="s">
        <v>501</v>
      </c>
      <c r="AK110" s="15">
        <v>2007</v>
      </c>
      <c r="AL110" s="15" t="s">
        <v>502</v>
      </c>
    </row>
    <row r="111" spans="1:38" x14ac:dyDescent="0.3">
      <c r="A111" s="1">
        <v>210</v>
      </c>
      <c r="D111" s="2">
        <v>0</v>
      </c>
      <c r="F111" s="2">
        <v>0</v>
      </c>
      <c r="H111" s="2">
        <v>42</v>
      </c>
      <c r="I111" s="3">
        <v>2.5</v>
      </c>
      <c r="J111" s="3">
        <v>0.5</v>
      </c>
      <c r="K111" s="4">
        <v>3</v>
      </c>
      <c r="L111" s="2">
        <v>42</v>
      </c>
      <c r="M111" s="5">
        <v>32</v>
      </c>
      <c r="O111" s="17">
        <v>42</v>
      </c>
      <c r="Q111" s="84">
        <v>0</v>
      </c>
      <c r="R111" s="8">
        <v>2.5</v>
      </c>
      <c r="S111" s="8">
        <v>0.5</v>
      </c>
      <c r="AI111" s="15" t="s">
        <v>503</v>
      </c>
      <c r="AJ111" s="15" t="s">
        <v>501</v>
      </c>
      <c r="AK111" s="15">
        <v>2007</v>
      </c>
      <c r="AL111" s="15" t="s">
        <v>502</v>
      </c>
    </row>
    <row r="112" spans="1:38" x14ac:dyDescent="0.3">
      <c r="A112" s="1">
        <v>210</v>
      </c>
      <c r="D112" s="2">
        <v>1</v>
      </c>
      <c r="E112" s="2">
        <v>32</v>
      </c>
      <c r="F112" s="2">
        <v>0</v>
      </c>
      <c r="H112" s="2">
        <v>42</v>
      </c>
      <c r="I112" s="3">
        <v>2.5</v>
      </c>
      <c r="J112" s="3">
        <v>0.5</v>
      </c>
      <c r="K112" s="4">
        <v>3</v>
      </c>
      <c r="L112" s="2">
        <v>70</v>
      </c>
      <c r="M112" s="5">
        <v>32</v>
      </c>
      <c r="Q112" s="84">
        <v>0</v>
      </c>
      <c r="AI112" s="15" t="s">
        <v>503</v>
      </c>
      <c r="AJ112" s="15" t="s">
        <v>501</v>
      </c>
      <c r="AK112" s="15">
        <v>2007</v>
      </c>
      <c r="AL112" s="15" t="s">
        <v>502</v>
      </c>
    </row>
    <row r="113" spans="1:39" x14ac:dyDescent="0.3">
      <c r="A113" s="1">
        <v>210</v>
      </c>
      <c r="D113" s="2">
        <v>2</v>
      </c>
      <c r="E113" s="2">
        <v>32</v>
      </c>
      <c r="F113" s="2">
        <v>0</v>
      </c>
      <c r="H113" s="2">
        <v>42</v>
      </c>
      <c r="I113" s="3">
        <v>2.5</v>
      </c>
      <c r="J113" s="3">
        <v>0.5</v>
      </c>
      <c r="K113" s="4">
        <v>3</v>
      </c>
      <c r="L113" s="2">
        <v>98</v>
      </c>
      <c r="M113" s="5">
        <v>32</v>
      </c>
      <c r="Q113" s="84">
        <v>0</v>
      </c>
      <c r="T113" s="9">
        <v>9.5</v>
      </c>
      <c r="U113" s="9">
        <v>1.6</v>
      </c>
      <c r="W113" s="10">
        <v>0.98599999999999999</v>
      </c>
      <c r="X113" s="11">
        <v>133</v>
      </c>
      <c r="AI113" s="15" t="s">
        <v>503</v>
      </c>
      <c r="AJ113" s="15" t="s">
        <v>501</v>
      </c>
      <c r="AK113" s="15">
        <v>2007</v>
      </c>
      <c r="AL113" s="15" t="s">
        <v>502</v>
      </c>
    </row>
    <row r="114" spans="1:39" x14ac:dyDescent="0.3">
      <c r="A114" s="1">
        <v>15</v>
      </c>
      <c r="D114" s="2">
        <v>0</v>
      </c>
      <c r="F114" s="2">
        <v>0</v>
      </c>
      <c r="H114" s="2">
        <v>42</v>
      </c>
      <c r="I114" s="3">
        <v>7</v>
      </c>
      <c r="J114" s="3">
        <v>1</v>
      </c>
      <c r="K114" s="4">
        <v>3</v>
      </c>
      <c r="L114" s="2">
        <v>42</v>
      </c>
      <c r="M114" s="5">
        <v>32</v>
      </c>
      <c r="O114" s="17">
        <v>42</v>
      </c>
      <c r="Q114" s="84">
        <v>0</v>
      </c>
      <c r="R114" s="8">
        <v>7</v>
      </c>
      <c r="S114" s="8">
        <v>1</v>
      </c>
      <c r="AI114" s="15" t="s">
        <v>505</v>
      </c>
      <c r="AJ114" s="15" t="s">
        <v>501</v>
      </c>
      <c r="AK114" s="15">
        <v>2007</v>
      </c>
      <c r="AL114" s="15" t="s">
        <v>502</v>
      </c>
    </row>
    <row r="115" spans="1:39" x14ac:dyDescent="0.3">
      <c r="A115" s="1">
        <v>15</v>
      </c>
      <c r="D115" s="2">
        <v>1</v>
      </c>
      <c r="E115" s="2">
        <v>32</v>
      </c>
      <c r="F115" s="2">
        <v>0</v>
      </c>
      <c r="H115" s="2">
        <v>42</v>
      </c>
      <c r="I115" s="3">
        <v>7</v>
      </c>
      <c r="J115" s="3">
        <v>1</v>
      </c>
      <c r="K115" s="4">
        <v>3</v>
      </c>
      <c r="L115" s="2">
        <v>70</v>
      </c>
      <c r="M115" s="5">
        <v>32</v>
      </c>
      <c r="Q115" s="84">
        <v>0</v>
      </c>
      <c r="AI115" s="15" t="s">
        <v>505</v>
      </c>
      <c r="AJ115" s="15" t="s">
        <v>501</v>
      </c>
      <c r="AK115" s="15">
        <v>2007</v>
      </c>
      <c r="AL115" s="15" t="s">
        <v>502</v>
      </c>
    </row>
    <row r="116" spans="1:39" x14ac:dyDescent="0.3">
      <c r="A116" s="1">
        <v>15</v>
      </c>
      <c r="D116" s="2">
        <v>2</v>
      </c>
      <c r="E116" s="2">
        <v>32</v>
      </c>
      <c r="F116" s="2">
        <v>0</v>
      </c>
      <c r="H116" s="2">
        <v>42</v>
      </c>
      <c r="I116" s="3">
        <v>7</v>
      </c>
      <c r="J116" s="3">
        <v>1</v>
      </c>
      <c r="K116" s="4">
        <v>3</v>
      </c>
      <c r="L116" s="2">
        <v>98</v>
      </c>
      <c r="M116" s="5">
        <v>32</v>
      </c>
      <c r="Q116" s="84">
        <v>0</v>
      </c>
      <c r="T116" s="9">
        <v>7.8</v>
      </c>
      <c r="U116" s="9">
        <v>1.6</v>
      </c>
      <c r="W116" s="10">
        <v>0.73299999999999998</v>
      </c>
      <c r="X116" s="11">
        <v>133</v>
      </c>
      <c r="AI116" s="15" t="s">
        <v>505</v>
      </c>
      <c r="AJ116" s="15" t="s">
        <v>501</v>
      </c>
      <c r="AK116" s="15">
        <v>2007</v>
      </c>
      <c r="AL116" s="15" t="s">
        <v>502</v>
      </c>
    </row>
    <row r="117" spans="1:39" x14ac:dyDescent="0.3">
      <c r="A117" s="1">
        <v>221</v>
      </c>
      <c r="D117" s="2">
        <v>0</v>
      </c>
      <c r="F117" s="2">
        <v>0</v>
      </c>
      <c r="H117" s="2">
        <v>56</v>
      </c>
      <c r="I117" s="3">
        <v>2.5</v>
      </c>
      <c r="J117" s="3">
        <v>0.1</v>
      </c>
      <c r="K117" s="4">
        <v>3</v>
      </c>
      <c r="L117" s="2">
        <v>56</v>
      </c>
      <c r="M117" s="5">
        <v>32</v>
      </c>
      <c r="O117" s="17">
        <v>56</v>
      </c>
      <c r="Q117" s="84">
        <v>0</v>
      </c>
      <c r="R117" s="8">
        <v>2.5</v>
      </c>
      <c r="S117" s="8">
        <v>0.1</v>
      </c>
      <c r="AI117" s="15" t="s">
        <v>504</v>
      </c>
      <c r="AJ117" s="15" t="s">
        <v>501</v>
      </c>
      <c r="AK117" s="15">
        <v>2007</v>
      </c>
      <c r="AL117" s="15" t="s">
        <v>502</v>
      </c>
    </row>
    <row r="118" spans="1:39" x14ac:dyDescent="0.3">
      <c r="A118" s="1">
        <v>221</v>
      </c>
      <c r="D118" s="2">
        <v>1</v>
      </c>
      <c r="E118" s="2">
        <v>32</v>
      </c>
      <c r="F118" s="2">
        <v>0</v>
      </c>
      <c r="H118" s="2">
        <v>56</v>
      </c>
      <c r="I118" s="3">
        <v>2.5</v>
      </c>
      <c r="J118" s="3">
        <v>0.1</v>
      </c>
      <c r="K118" s="4">
        <v>3</v>
      </c>
      <c r="L118" s="2">
        <v>112</v>
      </c>
      <c r="M118" s="5">
        <v>32</v>
      </c>
      <c r="Q118" s="84">
        <v>0</v>
      </c>
      <c r="AI118" s="15" t="s">
        <v>504</v>
      </c>
      <c r="AJ118" s="15" t="s">
        <v>501</v>
      </c>
      <c r="AK118" s="15">
        <v>2007</v>
      </c>
      <c r="AL118" s="15" t="s">
        <v>502</v>
      </c>
    </row>
    <row r="119" spans="1:39" x14ac:dyDescent="0.3">
      <c r="A119" s="1">
        <v>221</v>
      </c>
      <c r="D119" s="2">
        <v>2</v>
      </c>
      <c r="E119" s="2">
        <v>32</v>
      </c>
      <c r="F119" s="2">
        <v>0</v>
      </c>
      <c r="H119" s="2">
        <v>56</v>
      </c>
      <c r="I119" s="3">
        <v>2.5</v>
      </c>
      <c r="J119" s="3">
        <v>0.1</v>
      </c>
      <c r="K119" s="4">
        <v>3</v>
      </c>
      <c r="L119" s="2">
        <v>168</v>
      </c>
      <c r="M119" s="5">
        <v>32</v>
      </c>
      <c r="Q119" s="84">
        <v>0</v>
      </c>
      <c r="T119" s="9">
        <v>10.199999999999999</v>
      </c>
      <c r="U119" s="9">
        <v>0.5</v>
      </c>
      <c r="W119" s="10">
        <v>0.995</v>
      </c>
      <c r="X119" s="11">
        <v>203</v>
      </c>
      <c r="AI119" s="15" t="s">
        <v>504</v>
      </c>
      <c r="AJ119" s="15" t="s">
        <v>501</v>
      </c>
      <c r="AK119" s="15">
        <v>2007</v>
      </c>
      <c r="AL119" s="15" t="s">
        <v>502</v>
      </c>
    </row>
    <row r="120" spans="1:39" x14ac:dyDescent="0.3">
      <c r="A120" s="1">
        <v>9</v>
      </c>
      <c r="D120" s="2">
        <v>0</v>
      </c>
      <c r="F120" s="2">
        <v>0</v>
      </c>
      <c r="H120" s="2">
        <v>56</v>
      </c>
      <c r="I120" s="3">
        <v>7</v>
      </c>
      <c r="J120" s="3">
        <v>1</v>
      </c>
      <c r="K120" s="4">
        <v>3</v>
      </c>
      <c r="L120" s="2">
        <v>56</v>
      </c>
      <c r="M120" s="5">
        <v>32</v>
      </c>
      <c r="O120" s="17">
        <v>56</v>
      </c>
      <c r="Q120" s="84">
        <v>0</v>
      </c>
      <c r="R120" s="8">
        <v>7</v>
      </c>
      <c r="S120" s="8">
        <v>1</v>
      </c>
      <c r="AI120" s="15" t="s">
        <v>506</v>
      </c>
      <c r="AJ120" s="15" t="s">
        <v>501</v>
      </c>
      <c r="AK120" s="15">
        <v>2007</v>
      </c>
      <c r="AL120" s="15" t="s">
        <v>502</v>
      </c>
    </row>
    <row r="121" spans="1:39" x14ac:dyDescent="0.3">
      <c r="A121" s="1">
        <v>9</v>
      </c>
      <c r="D121" s="2">
        <v>1</v>
      </c>
      <c r="E121" s="2">
        <v>32</v>
      </c>
      <c r="F121" s="2">
        <v>0</v>
      </c>
      <c r="H121" s="2">
        <v>56</v>
      </c>
      <c r="I121" s="3">
        <v>7</v>
      </c>
      <c r="J121" s="3">
        <v>1</v>
      </c>
      <c r="K121" s="4">
        <v>3</v>
      </c>
      <c r="L121" s="2">
        <v>112</v>
      </c>
      <c r="M121" s="5">
        <v>32</v>
      </c>
      <c r="Q121" s="84">
        <v>0</v>
      </c>
      <c r="AI121" s="15" t="s">
        <v>506</v>
      </c>
      <c r="AJ121" s="15" t="s">
        <v>501</v>
      </c>
      <c r="AK121" s="15">
        <v>2007</v>
      </c>
      <c r="AL121" s="15" t="s">
        <v>502</v>
      </c>
    </row>
    <row r="122" spans="1:39" x14ac:dyDescent="0.3">
      <c r="A122" s="1">
        <v>9</v>
      </c>
      <c r="D122" s="2">
        <v>2</v>
      </c>
      <c r="E122" s="2">
        <v>32</v>
      </c>
      <c r="F122" s="2">
        <v>0</v>
      </c>
      <c r="H122" s="2">
        <v>56</v>
      </c>
      <c r="I122" s="3">
        <v>7</v>
      </c>
      <c r="J122" s="3">
        <v>1</v>
      </c>
      <c r="K122" s="4">
        <v>3</v>
      </c>
      <c r="L122" s="2">
        <v>168</v>
      </c>
      <c r="M122" s="5">
        <v>32</v>
      </c>
      <c r="Q122" s="84">
        <v>0</v>
      </c>
      <c r="T122" s="9">
        <v>9.8000000000000007</v>
      </c>
      <c r="U122" s="9">
        <v>0.5</v>
      </c>
      <c r="W122" s="10">
        <v>0.88900000000000001</v>
      </c>
      <c r="X122" s="11">
        <v>203</v>
      </c>
      <c r="AI122" s="15" t="s">
        <v>506</v>
      </c>
      <c r="AJ122" s="15" t="s">
        <v>501</v>
      </c>
      <c r="AK122" s="15">
        <v>2007</v>
      </c>
      <c r="AL122" s="15" t="s">
        <v>502</v>
      </c>
    </row>
    <row r="123" spans="1:39" x14ac:dyDescent="0.3">
      <c r="A123" s="1">
        <v>9</v>
      </c>
      <c r="B123" s="2">
        <v>9</v>
      </c>
      <c r="D123" s="2">
        <v>0</v>
      </c>
      <c r="F123" s="2">
        <v>0</v>
      </c>
      <c r="K123" s="4">
        <v>1</v>
      </c>
      <c r="L123" s="2">
        <v>348</v>
      </c>
      <c r="N123" s="6">
        <v>6</v>
      </c>
      <c r="O123" s="17">
        <v>348</v>
      </c>
      <c r="P123" s="7">
        <v>0</v>
      </c>
      <c r="R123" s="8">
        <v>0</v>
      </c>
      <c r="S123" s="8">
        <v>0</v>
      </c>
      <c r="Y123" s="12">
        <f>10/11</f>
        <v>0.90909090909090906</v>
      </c>
      <c r="Z123" s="13">
        <v>4.4000000000000004</v>
      </c>
      <c r="AA123" s="3">
        <v>0.8</v>
      </c>
      <c r="AB123" s="2">
        <v>19.2</v>
      </c>
      <c r="AC123" s="2">
        <v>71</v>
      </c>
      <c r="AI123" s="15" t="s">
        <v>89</v>
      </c>
      <c r="AJ123" s="15" t="s">
        <v>90</v>
      </c>
      <c r="AK123" s="15">
        <v>1961</v>
      </c>
      <c r="AL123" s="15" t="s">
        <v>91</v>
      </c>
      <c r="AM123" s="15" t="s">
        <v>93</v>
      </c>
    </row>
    <row r="124" spans="1:39" x14ac:dyDescent="0.3">
      <c r="A124" s="1">
        <v>10</v>
      </c>
      <c r="B124" s="2">
        <v>10</v>
      </c>
      <c r="D124" s="2">
        <v>2</v>
      </c>
      <c r="E124" s="2">
        <v>20</v>
      </c>
      <c r="F124" s="2">
        <v>0</v>
      </c>
      <c r="K124" s="4">
        <v>1</v>
      </c>
      <c r="L124" s="2">
        <v>315</v>
      </c>
      <c r="N124" s="6">
        <v>6</v>
      </c>
      <c r="O124" s="17">
        <v>315</v>
      </c>
      <c r="P124" s="7">
        <v>0.8</v>
      </c>
      <c r="R124" s="8">
        <v>11.1</v>
      </c>
      <c r="S124" s="8">
        <v>1.7</v>
      </c>
      <c r="Y124" s="12">
        <f>5/8</f>
        <v>0.625</v>
      </c>
      <c r="Z124" s="13">
        <v>3.8</v>
      </c>
      <c r="AA124" s="3">
        <v>1</v>
      </c>
      <c r="AB124" s="2">
        <v>5.6</v>
      </c>
      <c r="AC124" s="2">
        <v>2.2000000000000002</v>
      </c>
      <c r="AI124" s="15" t="s">
        <v>88</v>
      </c>
      <c r="AJ124" s="15" t="s">
        <v>90</v>
      </c>
      <c r="AK124" s="15">
        <v>1961</v>
      </c>
      <c r="AL124" s="81" t="s">
        <v>91</v>
      </c>
      <c r="AM124" s="15" t="s">
        <v>92</v>
      </c>
    </row>
    <row r="125" spans="1:39" x14ac:dyDescent="0.3">
      <c r="A125" s="1">
        <v>10</v>
      </c>
      <c r="B125" s="2">
        <v>10</v>
      </c>
      <c r="D125" s="2">
        <v>0</v>
      </c>
      <c r="F125" s="2">
        <v>0</v>
      </c>
      <c r="I125" s="69"/>
      <c r="J125" s="69"/>
      <c r="K125" s="4">
        <v>2</v>
      </c>
      <c r="L125" s="2">
        <v>230</v>
      </c>
      <c r="M125" s="5">
        <v>2</v>
      </c>
      <c r="O125" s="17">
        <v>230</v>
      </c>
      <c r="P125" s="7">
        <f>5/10</f>
        <v>0.5</v>
      </c>
      <c r="AI125" s="15" t="s">
        <v>544</v>
      </c>
      <c r="AJ125" s="81" t="s">
        <v>90</v>
      </c>
      <c r="AK125" s="81">
        <v>1961</v>
      </c>
      <c r="AL125" s="81" t="s">
        <v>91</v>
      </c>
      <c r="AM125" s="81" t="s">
        <v>559</v>
      </c>
    </row>
    <row r="126" spans="1:39" x14ac:dyDescent="0.3">
      <c r="A126" s="1">
        <v>10</v>
      </c>
      <c r="B126" s="2">
        <v>10</v>
      </c>
      <c r="D126" s="2">
        <v>1</v>
      </c>
      <c r="E126" s="2">
        <v>2</v>
      </c>
      <c r="F126" s="2">
        <v>0</v>
      </c>
      <c r="I126" s="69"/>
      <c r="J126" s="69"/>
      <c r="K126" s="4">
        <v>2</v>
      </c>
      <c r="L126" s="2">
        <v>260</v>
      </c>
      <c r="M126" s="5">
        <v>2</v>
      </c>
      <c r="AI126" s="15" t="s">
        <v>544</v>
      </c>
      <c r="AJ126" s="81" t="s">
        <v>90</v>
      </c>
      <c r="AK126" s="81">
        <v>1961</v>
      </c>
      <c r="AL126" s="81" t="s">
        <v>91</v>
      </c>
      <c r="AM126" s="81" t="s">
        <v>559</v>
      </c>
    </row>
    <row r="127" spans="1:39" x14ac:dyDescent="0.3">
      <c r="A127" s="1">
        <v>10</v>
      </c>
      <c r="B127" s="2">
        <v>10</v>
      </c>
      <c r="D127" s="2">
        <v>2</v>
      </c>
      <c r="E127" s="2">
        <v>2</v>
      </c>
      <c r="F127" s="2">
        <v>0</v>
      </c>
      <c r="K127" s="4">
        <v>2</v>
      </c>
      <c r="L127" s="2">
        <v>280</v>
      </c>
      <c r="N127" s="6">
        <v>5.6</v>
      </c>
      <c r="O127" s="17">
        <v>280</v>
      </c>
      <c r="P127" s="7">
        <v>1</v>
      </c>
      <c r="R127" s="8">
        <v>9</v>
      </c>
      <c r="S127" s="8">
        <v>5.3</v>
      </c>
      <c r="Y127" s="12">
        <v>1</v>
      </c>
      <c r="Z127" s="13">
        <v>5.3</v>
      </c>
      <c r="AI127" s="15" t="s">
        <v>544</v>
      </c>
      <c r="AJ127" s="81" t="s">
        <v>90</v>
      </c>
      <c r="AK127" s="81">
        <v>1961</v>
      </c>
      <c r="AL127" s="81" t="s">
        <v>91</v>
      </c>
      <c r="AM127" s="81" t="s">
        <v>559</v>
      </c>
    </row>
    <row r="128" spans="1:39" x14ac:dyDescent="0.3">
      <c r="A128" s="1">
        <v>12</v>
      </c>
      <c r="B128" s="2">
        <v>12</v>
      </c>
      <c r="D128" s="2">
        <v>0</v>
      </c>
      <c r="F128" s="2">
        <v>0</v>
      </c>
      <c r="K128" s="4">
        <v>2</v>
      </c>
      <c r="L128" s="2">
        <v>365</v>
      </c>
      <c r="N128" s="6">
        <v>5.6</v>
      </c>
      <c r="O128" s="17">
        <v>365</v>
      </c>
      <c r="P128" s="7">
        <f>2/12</f>
        <v>0.16666666666666666</v>
      </c>
      <c r="Y128" s="12">
        <v>1</v>
      </c>
      <c r="Z128" s="13">
        <v>5.0999999999999996</v>
      </c>
      <c r="AI128" s="15" t="s">
        <v>545</v>
      </c>
      <c r="AJ128" s="81" t="s">
        <v>90</v>
      </c>
      <c r="AK128" s="81">
        <v>1961</v>
      </c>
      <c r="AL128" s="81" t="s">
        <v>91</v>
      </c>
      <c r="AM128" s="81" t="s">
        <v>559</v>
      </c>
    </row>
    <row r="129" spans="1:39" x14ac:dyDescent="0.3">
      <c r="A129" s="1">
        <v>34</v>
      </c>
      <c r="B129" s="2">
        <v>26</v>
      </c>
      <c r="D129" s="2">
        <v>0</v>
      </c>
      <c r="F129" s="2">
        <v>1</v>
      </c>
      <c r="G129" s="3">
        <v>6</v>
      </c>
      <c r="K129" s="4">
        <v>1</v>
      </c>
      <c r="L129" s="2">
        <v>390</v>
      </c>
      <c r="N129" s="6">
        <v>5</v>
      </c>
      <c r="AB129" s="2">
        <v>10.67</v>
      </c>
      <c r="AC129" s="2">
        <v>33</v>
      </c>
      <c r="AE129" s="81"/>
      <c r="AF129" s="81"/>
      <c r="AG129" s="81"/>
      <c r="AH129" s="81"/>
      <c r="AI129" s="15" t="s">
        <v>261</v>
      </c>
      <c r="AJ129" s="15" t="s">
        <v>262</v>
      </c>
      <c r="AK129" s="15">
        <v>1961</v>
      </c>
      <c r="AL129" s="15" t="s">
        <v>263</v>
      </c>
      <c r="AM129" s="15" t="s">
        <v>265</v>
      </c>
    </row>
    <row r="130" spans="1:39" x14ac:dyDescent="0.3">
      <c r="A130" s="1">
        <v>34</v>
      </c>
      <c r="D130" s="2">
        <v>0</v>
      </c>
      <c r="F130" s="2">
        <v>2</v>
      </c>
      <c r="G130" s="3">
        <v>6</v>
      </c>
      <c r="K130" s="4">
        <v>1</v>
      </c>
      <c r="L130" s="2">
        <f>390+45</f>
        <v>435</v>
      </c>
      <c r="N130" s="6">
        <v>5</v>
      </c>
      <c r="AI130" s="15" t="s">
        <v>261</v>
      </c>
      <c r="AJ130" s="15" t="s">
        <v>262</v>
      </c>
      <c r="AK130" s="15">
        <v>1961</v>
      </c>
      <c r="AL130" s="15" t="s">
        <v>263</v>
      </c>
      <c r="AM130" s="15" t="s">
        <v>265</v>
      </c>
    </row>
    <row r="131" spans="1:39" x14ac:dyDescent="0.3">
      <c r="A131" s="1">
        <v>36</v>
      </c>
      <c r="B131" s="2">
        <v>27</v>
      </c>
      <c r="D131" s="2">
        <v>0</v>
      </c>
      <c r="F131" s="2">
        <v>1</v>
      </c>
      <c r="G131" s="3">
        <v>6</v>
      </c>
      <c r="K131" s="4">
        <v>1</v>
      </c>
      <c r="L131" s="2">
        <v>2700</v>
      </c>
      <c r="N131" s="6">
        <v>5</v>
      </c>
      <c r="AB131" s="2">
        <v>4.67</v>
      </c>
      <c r="AC131" s="2">
        <v>4.9000000000000004</v>
      </c>
      <c r="AE131" s="81"/>
      <c r="AF131" s="81"/>
      <c r="AG131" s="81"/>
      <c r="AH131" s="81"/>
      <c r="AI131" s="15" t="s">
        <v>264</v>
      </c>
      <c r="AJ131" s="15" t="s">
        <v>262</v>
      </c>
      <c r="AK131" s="15">
        <v>1961</v>
      </c>
      <c r="AL131" s="15" t="s">
        <v>263</v>
      </c>
      <c r="AM131" s="15" t="s">
        <v>265</v>
      </c>
    </row>
    <row r="132" spans="1:39" x14ac:dyDescent="0.3">
      <c r="A132" s="1">
        <v>36</v>
      </c>
      <c r="D132" s="2">
        <v>0</v>
      </c>
      <c r="F132" s="2">
        <v>2</v>
      </c>
      <c r="G132" s="3">
        <v>6</v>
      </c>
      <c r="K132" s="4">
        <v>1</v>
      </c>
      <c r="L132" s="2">
        <f>2700+45</f>
        <v>2745</v>
      </c>
      <c r="N132" s="6">
        <v>5</v>
      </c>
      <c r="AI132" s="15" t="s">
        <v>264</v>
      </c>
      <c r="AJ132" s="15" t="s">
        <v>262</v>
      </c>
      <c r="AK132" s="15">
        <v>1961</v>
      </c>
      <c r="AL132" s="15" t="s">
        <v>263</v>
      </c>
      <c r="AM132" s="15" t="s">
        <v>265</v>
      </c>
    </row>
    <row r="133" spans="1:39" x14ac:dyDescent="0.3">
      <c r="A133" s="1">
        <v>34</v>
      </c>
      <c r="B133" s="2">
        <v>26</v>
      </c>
      <c r="D133" s="2">
        <v>0</v>
      </c>
      <c r="F133" s="2">
        <v>1</v>
      </c>
      <c r="G133" s="3">
        <v>5</v>
      </c>
      <c r="K133" s="4">
        <v>2</v>
      </c>
      <c r="L133" s="2">
        <v>390</v>
      </c>
      <c r="N133" s="6">
        <v>5</v>
      </c>
      <c r="AB133" s="2">
        <v>6.38</v>
      </c>
      <c r="AC133" s="2">
        <v>22</v>
      </c>
      <c r="AE133" s="81"/>
      <c r="AF133" s="81"/>
      <c r="AG133" s="81"/>
      <c r="AH133" s="81"/>
      <c r="AI133" s="15" t="s">
        <v>261</v>
      </c>
      <c r="AJ133" s="15" t="s">
        <v>262</v>
      </c>
      <c r="AK133" s="15">
        <v>1961</v>
      </c>
      <c r="AL133" s="15" t="s">
        <v>263</v>
      </c>
      <c r="AM133" s="15" t="s">
        <v>265</v>
      </c>
    </row>
    <row r="134" spans="1:39" x14ac:dyDescent="0.3">
      <c r="A134" s="1">
        <v>34</v>
      </c>
      <c r="B134" s="2">
        <v>26</v>
      </c>
      <c r="D134" s="2">
        <v>0</v>
      </c>
      <c r="F134" s="2">
        <v>2</v>
      </c>
      <c r="G134" s="3">
        <v>5</v>
      </c>
      <c r="K134" s="4">
        <v>2</v>
      </c>
      <c r="L134" s="2">
        <f>390+45</f>
        <v>435</v>
      </c>
      <c r="N134" s="6">
        <v>5</v>
      </c>
      <c r="AB134" s="2">
        <v>22</v>
      </c>
      <c r="AC134" s="2">
        <v>0</v>
      </c>
      <c r="AI134" s="15" t="s">
        <v>261</v>
      </c>
      <c r="AJ134" s="15" t="s">
        <v>262</v>
      </c>
      <c r="AK134" s="15">
        <v>1961</v>
      </c>
      <c r="AL134" s="15" t="s">
        <v>263</v>
      </c>
      <c r="AM134" s="15" t="s">
        <v>265</v>
      </c>
    </row>
    <row r="135" spans="1:39" x14ac:dyDescent="0.3">
      <c r="A135" s="1">
        <v>36</v>
      </c>
      <c r="B135" s="2">
        <v>27</v>
      </c>
      <c r="D135" s="2">
        <v>0</v>
      </c>
      <c r="F135" s="2">
        <v>1</v>
      </c>
      <c r="G135" s="3">
        <v>5</v>
      </c>
      <c r="K135" s="4">
        <v>2</v>
      </c>
      <c r="L135" s="2">
        <v>2700</v>
      </c>
      <c r="N135" s="6">
        <v>5</v>
      </c>
      <c r="AB135" s="2">
        <v>5</v>
      </c>
      <c r="AC135" s="2">
        <v>17</v>
      </c>
      <c r="AE135" s="81"/>
      <c r="AF135" s="81"/>
      <c r="AG135" s="81"/>
      <c r="AH135" s="81"/>
      <c r="AI135" s="15" t="s">
        <v>264</v>
      </c>
      <c r="AJ135" s="15" t="s">
        <v>262</v>
      </c>
      <c r="AK135" s="15">
        <v>1961</v>
      </c>
      <c r="AL135" s="15" t="s">
        <v>263</v>
      </c>
      <c r="AM135" s="15" t="s">
        <v>265</v>
      </c>
    </row>
    <row r="136" spans="1:39" x14ac:dyDescent="0.3">
      <c r="A136" s="1">
        <v>36</v>
      </c>
      <c r="D136" s="2">
        <v>0</v>
      </c>
      <c r="F136" s="2">
        <v>2</v>
      </c>
      <c r="G136" s="3">
        <v>5</v>
      </c>
      <c r="K136" s="4">
        <v>2</v>
      </c>
      <c r="L136" s="2">
        <f>2700+45</f>
        <v>2745</v>
      </c>
      <c r="N136" s="6">
        <v>5</v>
      </c>
      <c r="AI136" s="15" t="s">
        <v>264</v>
      </c>
      <c r="AJ136" s="15" t="s">
        <v>262</v>
      </c>
      <c r="AK136" s="15">
        <v>1961</v>
      </c>
      <c r="AL136" s="15" t="s">
        <v>263</v>
      </c>
      <c r="AM136" s="15" t="s">
        <v>265</v>
      </c>
    </row>
    <row r="137" spans="1:39" x14ac:dyDescent="0.3">
      <c r="A137" s="67">
        <v>34</v>
      </c>
      <c r="B137" s="2">
        <v>26</v>
      </c>
      <c r="D137" s="2">
        <v>0</v>
      </c>
      <c r="F137" s="2">
        <v>1</v>
      </c>
      <c r="G137" s="3">
        <v>5.5</v>
      </c>
      <c r="K137" s="4">
        <v>3</v>
      </c>
      <c r="L137" s="2">
        <v>390</v>
      </c>
      <c r="N137" s="6">
        <v>5</v>
      </c>
      <c r="AB137" s="2">
        <v>8.35</v>
      </c>
      <c r="AC137" s="2">
        <v>61</v>
      </c>
      <c r="AE137" s="81"/>
      <c r="AF137" s="81"/>
      <c r="AG137" s="81"/>
      <c r="AH137" s="81"/>
      <c r="AI137" s="15" t="s">
        <v>261</v>
      </c>
      <c r="AJ137" s="15" t="s">
        <v>262</v>
      </c>
      <c r="AK137" s="15">
        <v>1961</v>
      </c>
      <c r="AL137" s="15" t="s">
        <v>263</v>
      </c>
      <c r="AM137" s="15" t="s">
        <v>265</v>
      </c>
    </row>
    <row r="138" spans="1:39" x14ac:dyDescent="0.3">
      <c r="A138" s="67">
        <v>34</v>
      </c>
      <c r="B138" s="2">
        <v>26</v>
      </c>
      <c r="D138" s="2">
        <v>0</v>
      </c>
      <c r="F138" s="2">
        <v>2</v>
      </c>
      <c r="G138" s="3">
        <v>5.5</v>
      </c>
      <c r="K138" s="4">
        <v>3</v>
      </c>
      <c r="L138" s="2">
        <f>390+45</f>
        <v>435</v>
      </c>
      <c r="N138" s="6">
        <v>5</v>
      </c>
      <c r="AB138" s="2">
        <v>16.670000000000002</v>
      </c>
      <c r="AC138" s="2">
        <v>14</v>
      </c>
      <c r="AI138" s="15" t="s">
        <v>261</v>
      </c>
      <c r="AJ138" s="15" t="s">
        <v>262</v>
      </c>
      <c r="AK138" s="15">
        <v>1961</v>
      </c>
      <c r="AL138" s="15" t="s">
        <v>263</v>
      </c>
      <c r="AM138" s="15" t="s">
        <v>265</v>
      </c>
    </row>
    <row r="139" spans="1:39" x14ac:dyDescent="0.3">
      <c r="A139" s="67">
        <v>36</v>
      </c>
      <c r="B139" s="2">
        <v>27</v>
      </c>
      <c r="D139" s="2">
        <v>0</v>
      </c>
      <c r="F139" s="2">
        <v>1</v>
      </c>
      <c r="G139" s="3">
        <v>5.5</v>
      </c>
      <c r="K139" s="4">
        <v>3</v>
      </c>
      <c r="L139" s="2">
        <v>2700</v>
      </c>
      <c r="N139" s="6">
        <v>5</v>
      </c>
      <c r="AB139" s="2">
        <v>5.43</v>
      </c>
      <c r="AC139" s="2">
        <v>12.2</v>
      </c>
      <c r="AE139" s="81"/>
      <c r="AF139" s="81"/>
      <c r="AG139" s="81"/>
      <c r="AH139" s="81"/>
      <c r="AI139" s="15" t="s">
        <v>264</v>
      </c>
      <c r="AJ139" s="15" t="s">
        <v>262</v>
      </c>
      <c r="AK139" s="15">
        <v>1961</v>
      </c>
      <c r="AL139" s="15" t="s">
        <v>263</v>
      </c>
      <c r="AM139" s="15" t="s">
        <v>265</v>
      </c>
    </row>
    <row r="140" spans="1:39" x14ac:dyDescent="0.3">
      <c r="A140" s="67">
        <v>36</v>
      </c>
      <c r="D140" s="2">
        <v>0</v>
      </c>
      <c r="F140" s="2">
        <v>2</v>
      </c>
      <c r="G140" s="3">
        <v>5.5</v>
      </c>
      <c r="K140" s="4">
        <v>3</v>
      </c>
      <c r="L140" s="2">
        <f>2700+45</f>
        <v>2745</v>
      </c>
      <c r="N140" s="6">
        <v>5</v>
      </c>
      <c r="AI140" s="15" t="s">
        <v>264</v>
      </c>
      <c r="AJ140" s="15" t="s">
        <v>262</v>
      </c>
      <c r="AK140" s="15">
        <v>1961</v>
      </c>
      <c r="AL140" s="15" t="s">
        <v>263</v>
      </c>
      <c r="AM140" s="15" t="s">
        <v>265</v>
      </c>
    </row>
    <row r="141" spans="1:39" x14ac:dyDescent="0.3">
      <c r="A141" s="67">
        <v>107</v>
      </c>
      <c r="B141" s="2">
        <v>0</v>
      </c>
      <c r="D141" s="2">
        <v>0</v>
      </c>
      <c r="F141" s="2">
        <v>0</v>
      </c>
      <c r="H141" s="2">
        <v>0</v>
      </c>
      <c r="I141" s="3">
        <v>3.25</v>
      </c>
      <c r="J141" s="3">
        <v>5.87</v>
      </c>
      <c r="K141" s="4">
        <v>1</v>
      </c>
      <c r="L141" s="2">
        <v>0</v>
      </c>
      <c r="O141" s="17">
        <v>0</v>
      </c>
      <c r="P141" s="7">
        <f>80/107</f>
        <v>0.74766355140186913</v>
      </c>
      <c r="Q141" s="84">
        <v>0</v>
      </c>
      <c r="R141" s="8">
        <v>3.25</v>
      </c>
      <c r="S141" s="8">
        <v>5.87</v>
      </c>
      <c r="T141" s="9">
        <v>2.57</v>
      </c>
      <c r="U141" s="9">
        <v>5.25</v>
      </c>
      <c r="W141" s="10">
        <f>69/107</f>
        <v>0.64485981308411211</v>
      </c>
      <c r="X141" s="11">
        <v>28</v>
      </c>
      <c r="AI141" s="15" t="s">
        <v>142</v>
      </c>
      <c r="AJ141" s="15" t="s">
        <v>139</v>
      </c>
      <c r="AK141" s="15">
        <v>1986</v>
      </c>
      <c r="AL141" s="15" t="s">
        <v>211</v>
      </c>
    </row>
    <row r="142" spans="1:39" x14ac:dyDescent="0.3">
      <c r="A142" s="67">
        <v>107</v>
      </c>
      <c r="B142" s="2">
        <v>107</v>
      </c>
      <c r="D142" s="2">
        <v>0</v>
      </c>
      <c r="F142" s="2">
        <v>0</v>
      </c>
      <c r="H142" s="2">
        <v>28</v>
      </c>
      <c r="I142" s="3">
        <v>2.57</v>
      </c>
      <c r="J142" s="3">
        <v>5.25</v>
      </c>
      <c r="K142" s="4">
        <v>1</v>
      </c>
      <c r="L142" s="2">
        <v>60</v>
      </c>
      <c r="N142" s="6">
        <v>6</v>
      </c>
      <c r="O142" s="17">
        <v>60</v>
      </c>
      <c r="P142" s="7">
        <f>50/107</f>
        <v>0.46728971962616822</v>
      </c>
      <c r="Q142" s="84">
        <v>0</v>
      </c>
      <c r="R142" s="8">
        <v>1.89</v>
      </c>
      <c r="S142" s="8">
        <v>5.05</v>
      </c>
      <c r="T142" s="9">
        <v>4.9000000000000004</v>
      </c>
      <c r="W142" s="10">
        <v>0.86</v>
      </c>
      <c r="X142" s="11">
        <v>90</v>
      </c>
      <c r="Y142" s="12">
        <v>0.439</v>
      </c>
      <c r="AB142" s="2">
        <v>18.170000000000002</v>
      </c>
      <c r="AC142" s="2">
        <v>195</v>
      </c>
      <c r="AI142" s="15" t="s">
        <v>142</v>
      </c>
      <c r="AJ142" s="15" t="s">
        <v>139</v>
      </c>
      <c r="AK142" s="15">
        <v>1986</v>
      </c>
      <c r="AL142" s="15" t="s">
        <v>211</v>
      </c>
    </row>
    <row r="143" spans="1:39" x14ac:dyDescent="0.3">
      <c r="A143" s="67">
        <v>107</v>
      </c>
      <c r="D143" s="2">
        <v>0</v>
      </c>
      <c r="F143" s="2">
        <v>2</v>
      </c>
      <c r="G143" s="3">
        <v>6</v>
      </c>
      <c r="H143" s="2">
        <v>60</v>
      </c>
      <c r="I143" s="3">
        <v>1.89</v>
      </c>
      <c r="J143" s="3">
        <v>5.05</v>
      </c>
      <c r="K143" s="4">
        <v>1</v>
      </c>
      <c r="L143" s="2">
        <v>120</v>
      </c>
      <c r="N143" s="6">
        <v>6</v>
      </c>
      <c r="Q143" s="84">
        <v>0</v>
      </c>
      <c r="T143" s="9">
        <v>8</v>
      </c>
      <c r="W143" s="10">
        <v>1</v>
      </c>
      <c r="X143" s="11">
        <v>140</v>
      </c>
      <c r="AI143" s="15" t="s">
        <v>142</v>
      </c>
      <c r="AJ143" s="15" t="s">
        <v>139</v>
      </c>
      <c r="AK143" s="15">
        <v>1986</v>
      </c>
      <c r="AL143" s="15" t="s">
        <v>211</v>
      </c>
      <c r="AM143" s="15" t="s">
        <v>141</v>
      </c>
    </row>
    <row r="144" spans="1:39" x14ac:dyDescent="0.3">
      <c r="A144" s="67">
        <v>107</v>
      </c>
      <c r="B144" s="2">
        <v>107</v>
      </c>
      <c r="D144" s="2">
        <v>0</v>
      </c>
      <c r="F144" s="2">
        <v>0</v>
      </c>
      <c r="H144" s="2">
        <v>0</v>
      </c>
      <c r="I144" s="3">
        <v>3.07</v>
      </c>
      <c r="J144" s="3">
        <v>4.32</v>
      </c>
      <c r="K144" s="4">
        <v>1</v>
      </c>
      <c r="L144" s="2">
        <v>0</v>
      </c>
      <c r="N144" s="6">
        <v>6</v>
      </c>
      <c r="O144" s="17">
        <v>0</v>
      </c>
      <c r="P144" s="7">
        <v>0.78500000000000003</v>
      </c>
      <c r="Q144" s="84">
        <v>0</v>
      </c>
      <c r="R144" s="8">
        <v>3.07</v>
      </c>
      <c r="S144" s="8">
        <v>4.32</v>
      </c>
      <c r="T144" s="9">
        <v>4.3</v>
      </c>
      <c r="V144" s="10">
        <v>0.41099999999999998</v>
      </c>
      <c r="W144" s="10">
        <v>0.879</v>
      </c>
      <c r="X144" s="11">
        <v>28</v>
      </c>
      <c r="Y144" s="12">
        <v>0.41099999999999998</v>
      </c>
      <c r="AB144" s="2">
        <v>26.4</v>
      </c>
      <c r="AC144" s="2">
        <v>112</v>
      </c>
      <c r="AI144" s="15" t="s">
        <v>138</v>
      </c>
      <c r="AJ144" s="15" t="s">
        <v>139</v>
      </c>
      <c r="AK144" s="15">
        <v>1986</v>
      </c>
      <c r="AL144" s="15" t="s">
        <v>211</v>
      </c>
      <c r="AM144" s="15" t="s">
        <v>140</v>
      </c>
    </row>
    <row r="145" spans="1:39" x14ac:dyDescent="0.3">
      <c r="A145" s="67">
        <v>107</v>
      </c>
      <c r="B145" s="2">
        <v>107</v>
      </c>
      <c r="D145" s="2">
        <v>0</v>
      </c>
      <c r="F145" s="2">
        <v>1</v>
      </c>
      <c r="G145" s="3">
        <v>6</v>
      </c>
      <c r="H145" s="2">
        <v>0</v>
      </c>
      <c r="I145" s="3">
        <v>3.07</v>
      </c>
      <c r="J145" s="3">
        <v>4.32</v>
      </c>
      <c r="K145" s="4">
        <v>1</v>
      </c>
      <c r="L145" s="2">
        <v>60</v>
      </c>
      <c r="N145" s="6">
        <v>6</v>
      </c>
      <c r="O145" s="17">
        <v>60</v>
      </c>
      <c r="P145" s="7">
        <v>0.76600000000000001</v>
      </c>
      <c r="Q145" s="84">
        <v>0</v>
      </c>
      <c r="R145" s="8">
        <v>4</v>
      </c>
      <c r="T145" s="9">
        <v>6.7</v>
      </c>
      <c r="W145" s="10">
        <v>0.98099999999999998</v>
      </c>
      <c r="X145" s="11">
        <v>90</v>
      </c>
      <c r="Y145" s="12">
        <v>0.159</v>
      </c>
      <c r="AB145" s="2">
        <v>18.7</v>
      </c>
      <c r="AC145" s="2">
        <v>177</v>
      </c>
      <c r="AI145" s="15" t="s">
        <v>138</v>
      </c>
      <c r="AJ145" s="15" t="s">
        <v>139</v>
      </c>
      <c r="AK145" s="15">
        <v>1986</v>
      </c>
      <c r="AL145" s="15" t="s">
        <v>211</v>
      </c>
      <c r="AM145" s="15" t="s">
        <v>140</v>
      </c>
    </row>
    <row r="146" spans="1:39" x14ac:dyDescent="0.3">
      <c r="A146" s="67">
        <v>107</v>
      </c>
      <c r="D146" s="2">
        <v>0</v>
      </c>
      <c r="F146" s="2">
        <v>3</v>
      </c>
      <c r="G146" s="3">
        <v>6</v>
      </c>
      <c r="H146" s="2">
        <v>0</v>
      </c>
      <c r="I146" s="3">
        <v>3.07</v>
      </c>
      <c r="J146" s="3">
        <v>4.32</v>
      </c>
      <c r="K146" s="4">
        <v>1</v>
      </c>
      <c r="L146" s="2">
        <v>120</v>
      </c>
      <c r="N146" s="6">
        <v>6</v>
      </c>
      <c r="Q146" s="84">
        <v>0</v>
      </c>
      <c r="T146" s="9">
        <v>7.7</v>
      </c>
      <c r="W146" s="10">
        <v>0.99099999999999999</v>
      </c>
      <c r="X146" s="11">
        <v>140</v>
      </c>
      <c r="AI146" s="15" t="s">
        <v>138</v>
      </c>
      <c r="AJ146" s="15" t="s">
        <v>139</v>
      </c>
      <c r="AK146" s="15">
        <v>1986</v>
      </c>
      <c r="AL146" s="15" t="s">
        <v>211</v>
      </c>
      <c r="AM146" s="15" t="s">
        <v>141</v>
      </c>
    </row>
    <row r="147" spans="1:39" x14ac:dyDescent="0.3">
      <c r="A147" s="67">
        <v>107</v>
      </c>
      <c r="B147" s="2">
        <v>0</v>
      </c>
      <c r="D147" s="2">
        <v>0</v>
      </c>
      <c r="F147" s="2">
        <v>0</v>
      </c>
      <c r="H147" s="2">
        <v>0</v>
      </c>
      <c r="I147" s="3">
        <v>4.83</v>
      </c>
      <c r="J147" s="3">
        <v>6.98</v>
      </c>
      <c r="K147" s="4">
        <v>2</v>
      </c>
      <c r="L147" s="2">
        <v>0</v>
      </c>
      <c r="O147" s="17">
        <v>0</v>
      </c>
      <c r="P147" s="7">
        <f>93/107</f>
        <v>0.86915887850467288</v>
      </c>
      <c r="Q147" s="84">
        <v>0</v>
      </c>
      <c r="R147" s="8">
        <v>4.83</v>
      </c>
      <c r="S147" s="8">
        <v>6.98</v>
      </c>
      <c r="T147" s="9">
        <v>3.84</v>
      </c>
      <c r="U147" s="9">
        <v>7.26</v>
      </c>
      <c r="W147" s="10">
        <f>83/107</f>
        <v>0.77570093457943923</v>
      </c>
      <c r="X147" s="11">
        <v>28</v>
      </c>
      <c r="AI147" s="15" t="s">
        <v>142</v>
      </c>
      <c r="AJ147" s="15" t="s">
        <v>139</v>
      </c>
      <c r="AK147" s="15">
        <v>1986</v>
      </c>
      <c r="AL147" s="15" t="s">
        <v>211</v>
      </c>
    </row>
    <row r="148" spans="1:39" x14ac:dyDescent="0.3">
      <c r="A148" s="67">
        <v>107</v>
      </c>
      <c r="B148" s="2">
        <v>107</v>
      </c>
      <c r="D148" s="2">
        <v>0</v>
      </c>
      <c r="F148" s="2">
        <v>0</v>
      </c>
      <c r="H148" s="2">
        <v>28</v>
      </c>
      <c r="I148" s="3">
        <v>3.84</v>
      </c>
      <c r="J148" s="3">
        <v>7.26</v>
      </c>
      <c r="K148" s="4">
        <v>2</v>
      </c>
      <c r="L148" s="2">
        <v>60</v>
      </c>
      <c r="N148" s="6">
        <v>5</v>
      </c>
      <c r="O148" s="17">
        <v>60</v>
      </c>
      <c r="P148" s="7">
        <f>71/107</f>
        <v>0.66355140186915884</v>
      </c>
      <c r="Q148" s="84">
        <v>0</v>
      </c>
      <c r="R148" s="8">
        <v>3.15</v>
      </c>
      <c r="S148" s="8">
        <v>6.89</v>
      </c>
      <c r="T148" s="9">
        <v>7.5</v>
      </c>
      <c r="W148" s="10">
        <v>0.96299999999999997</v>
      </c>
      <c r="X148" s="11">
        <v>90</v>
      </c>
      <c r="Y148" s="12">
        <v>0.505</v>
      </c>
      <c r="AB148" s="2">
        <v>20.399999999999999</v>
      </c>
      <c r="AC148" s="2">
        <v>194</v>
      </c>
      <c r="AI148" s="15" t="s">
        <v>142</v>
      </c>
      <c r="AJ148" s="15" t="s">
        <v>139</v>
      </c>
      <c r="AK148" s="15">
        <v>1986</v>
      </c>
      <c r="AL148" s="15" t="s">
        <v>211</v>
      </c>
    </row>
    <row r="149" spans="1:39" x14ac:dyDescent="0.3">
      <c r="A149" s="67">
        <v>107</v>
      </c>
      <c r="D149" s="2">
        <v>0</v>
      </c>
      <c r="F149" s="2">
        <v>2</v>
      </c>
      <c r="G149" s="3">
        <v>5</v>
      </c>
      <c r="H149" s="2">
        <v>60</v>
      </c>
      <c r="I149" s="3">
        <v>3.15</v>
      </c>
      <c r="J149" s="3">
        <v>6.89</v>
      </c>
      <c r="K149" s="4">
        <v>2</v>
      </c>
      <c r="L149" s="2">
        <v>120</v>
      </c>
      <c r="N149" s="6">
        <v>5</v>
      </c>
      <c r="Q149" s="84">
        <v>0</v>
      </c>
      <c r="T149" s="9">
        <v>8.4</v>
      </c>
      <c r="W149" s="10">
        <v>0.98099999999999998</v>
      </c>
      <c r="X149" s="11">
        <v>140</v>
      </c>
      <c r="AI149" s="15" t="s">
        <v>142</v>
      </c>
      <c r="AJ149" s="15" t="s">
        <v>139</v>
      </c>
      <c r="AK149" s="15">
        <v>1986</v>
      </c>
      <c r="AL149" s="15" t="s">
        <v>211</v>
      </c>
      <c r="AM149" s="15" t="s">
        <v>141</v>
      </c>
    </row>
    <row r="150" spans="1:39" x14ac:dyDescent="0.3">
      <c r="A150" s="67">
        <v>107</v>
      </c>
      <c r="B150" s="2">
        <v>107</v>
      </c>
      <c r="D150" s="2">
        <v>0</v>
      </c>
      <c r="F150" s="2">
        <v>0</v>
      </c>
      <c r="H150" s="2">
        <v>0</v>
      </c>
      <c r="I150" s="3">
        <v>5.32</v>
      </c>
      <c r="J150" s="3">
        <v>5.92</v>
      </c>
      <c r="K150" s="4">
        <v>2</v>
      </c>
      <c r="L150" s="2">
        <v>0</v>
      </c>
      <c r="N150" s="6">
        <v>5</v>
      </c>
      <c r="O150" s="17">
        <v>0</v>
      </c>
      <c r="P150" s="7">
        <v>0.92500000000000004</v>
      </c>
      <c r="Q150" s="84">
        <v>0</v>
      </c>
      <c r="R150" s="8">
        <v>5.32</v>
      </c>
      <c r="S150" s="8">
        <v>5.92</v>
      </c>
      <c r="T150" s="9">
        <v>6.4</v>
      </c>
      <c r="V150" s="10">
        <v>0.43</v>
      </c>
      <c r="W150" s="10">
        <v>0.99099999999999999</v>
      </c>
      <c r="X150" s="11">
        <v>28</v>
      </c>
      <c r="Y150" s="12">
        <v>0.41099999999999998</v>
      </c>
      <c r="AB150" s="2">
        <v>34</v>
      </c>
      <c r="AC150" s="2">
        <v>353</v>
      </c>
      <c r="AI150" s="15" t="s">
        <v>138</v>
      </c>
      <c r="AJ150" s="15" t="s">
        <v>139</v>
      </c>
      <c r="AK150" s="15">
        <v>1986</v>
      </c>
      <c r="AL150" s="15" t="s">
        <v>211</v>
      </c>
      <c r="AM150" s="15" t="s">
        <v>181</v>
      </c>
    </row>
    <row r="151" spans="1:39" x14ac:dyDescent="0.3">
      <c r="A151" s="67">
        <v>107</v>
      </c>
      <c r="B151" s="2">
        <v>107</v>
      </c>
      <c r="D151" s="2">
        <v>0</v>
      </c>
      <c r="F151" s="2">
        <v>1</v>
      </c>
      <c r="G151" s="3">
        <v>5</v>
      </c>
      <c r="H151" s="2">
        <v>0</v>
      </c>
      <c r="I151" s="3">
        <v>5.32</v>
      </c>
      <c r="J151" s="3">
        <v>5.92</v>
      </c>
      <c r="K151" s="4">
        <v>2</v>
      </c>
      <c r="L151" s="2">
        <v>60</v>
      </c>
      <c r="N151" s="6">
        <v>5</v>
      </c>
      <c r="O151" s="17">
        <v>60</v>
      </c>
      <c r="P151" s="7">
        <v>0.96299999999999997</v>
      </c>
      <c r="Q151" s="84">
        <v>0</v>
      </c>
      <c r="R151" s="8">
        <v>6.1</v>
      </c>
      <c r="T151" s="9">
        <v>8.5</v>
      </c>
      <c r="W151" s="10">
        <v>1</v>
      </c>
      <c r="X151" s="11">
        <v>90</v>
      </c>
      <c r="Y151" s="12">
        <v>0.13</v>
      </c>
      <c r="AB151" s="2">
        <v>23.6</v>
      </c>
      <c r="AC151" s="2">
        <v>203</v>
      </c>
      <c r="AI151" s="15" t="s">
        <v>138</v>
      </c>
      <c r="AJ151" s="15" t="s">
        <v>139</v>
      </c>
      <c r="AK151" s="15">
        <v>1986</v>
      </c>
      <c r="AL151" s="15" t="s">
        <v>211</v>
      </c>
      <c r="AM151" s="15" t="s">
        <v>182</v>
      </c>
    </row>
    <row r="152" spans="1:39" x14ac:dyDescent="0.3">
      <c r="A152" s="67">
        <v>107</v>
      </c>
      <c r="D152" s="2">
        <v>0</v>
      </c>
      <c r="F152" s="2">
        <v>3</v>
      </c>
      <c r="G152" s="3">
        <v>5</v>
      </c>
      <c r="H152" s="2">
        <v>0</v>
      </c>
      <c r="I152" s="3">
        <v>5.32</v>
      </c>
      <c r="J152" s="3">
        <v>5.92</v>
      </c>
      <c r="K152" s="4">
        <v>2</v>
      </c>
      <c r="L152" s="2">
        <v>120</v>
      </c>
      <c r="N152" s="6">
        <v>5</v>
      </c>
      <c r="Q152" s="84">
        <v>0</v>
      </c>
      <c r="T152" s="9">
        <v>8.6</v>
      </c>
      <c r="W152" s="10">
        <v>1</v>
      </c>
      <c r="X152" s="11">
        <v>140</v>
      </c>
      <c r="AI152" s="15" t="s">
        <v>138</v>
      </c>
      <c r="AJ152" s="15" t="s">
        <v>139</v>
      </c>
      <c r="AK152" s="15">
        <v>1986</v>
      </c>
      <c r="AL152" s="15" t="s">
        <v>211</v>
      </c>
      <c r="AM152" s="15" t="s">
        <v>141</v>
      </c>
    </row>
    <row r="153" spans="1:39" x14ac:dyDescent="0.3">
      <c r="A153" s="67">
        <v>107</v>
      </c>
      <c r="D153" s="2">
        <v>0</v>
      </c>
      <c r="F153" s="2">
        <v>0</v>
      </c>
      <c r="H153" s="2">
        <v>0</v>
      </c>
      <c r="I153" s="3">
        <v>4.04</v>
      </c>
      <c r="J153" s="3">
        <v>6.99</v>
      </c>
      <c r="K153" s="4">
        <v>3</v>
      </c>
      <c r="L153" s="2">
        <v>0</v>
      </c>
      <c r="O153" s="17">
        <v>0</v>
      </c>
      <c r="P153" s="7">
        <v>0.78504672897196259</v>
      </c>
      <c r="Q153" s="84">
        <v>0</v>
      </c>
      <c r="R153" s="8">
        <v>4.04</v>
      </c>
      <c r="S153" s="8">
        <v>6.99</v>
      </c>
      <c r="T153" s="9">
        <v>3.19</v>
      </c>
      <c r="U153" s="9">
        <v>6.04</v>
      </c>
      <c r="W153" s="10">
        <v>0.72</v>
      </c>
      <c r="X153" s="11">
        <v>28</v>
      </c>
      <c r="AI153" s="15" t="s">
        <v>142</v>
      </c>
      <c r="AJ153" s="15" t="s">
        <v>139</v>
      </c>
      <c r="AK153" s="15">
        <v>1986</v>
      </c>
      <c r="AL153" s="15" t="s">
        <v>211</v>
      </c>
    </row>
    <row r="154" spans="1:39" x14ac:dyDescent="0.3">
      <c r="A154" s="67">
        <v>107</v>
      </c>
      <c r="B154" s="2">
        <v>107</v>
      </c>
      <c r="D154" s="2">
        <v>0</v>
      </c>
      <c r="F154" s="2">
        <v>0</v>
      </c>
      <c r="H154" s="2">
        <v>28</v>
      </c>
      <c r="I154" s="3">
        <v>3.19</v>
      </c>
      <c r="J154" s="3">
        <v>6.04</v>
      </c>
      <c r="K154" s="4">
        <v>3</v>
      </c>
      <c r="L154" s="2">
        <v>60</v>
      </c>
      <c r="N154" s="6">
        <v>5.5</v>
      </c>
      <c r="O154" s="17">
        <v>60</v>
      </c>
      <c r="P154" s="7">
        <v>0.59813084112149528</v>
      </c>
      <c r="Q154" s="84">
        <v>0</v>
      </c>
      <c r="R154" s="8">
        <v>2.4900000000000002</v>
      </c>
      <c r="S154" s="8">
        <v>6.23</v>
      </c>
      <c r="T154" s="9">
        <v>7</v>
      </c>
      <c r="W154" s="10">
        <v>0.97199999999999998</v>
      </c>
      <c r="X154" s="11">
        <v>90</v>
      </c>
      <c r="Y154" s="12">
        <v>0.73399999999999999</v>
      </c>
      <c r="AB154" s="2">
        <v>35</v>
      </c>
      <c r="AC154" s="2">
        <v>105</v>
      </c>
      <c r="AI154" s="15" t="s">
        <v>142</v>
      </c>
      <c r="AJ154" s="15" t="s">
        <v>139</v>
      </c>
      <c r="AK154" s="15">
        <v>1986</v>
      </c>
      <c r="AL154" s="15" t="s">
        <v>211</v>
      </c>
    </row>
    <row r="155" spans="1:39" x14ac:dyDescent="0.3">
      <c r="A155" s="67">
        <v>107</v>
      </c>
      <c r="D155" s="2">
        <v>0</v>
      </c>
      <c r="F155" s="2">
        <v>2</v>
      </c>
      <c r="G155" s="3">
        <v>5.5</v>
      </c>
      <c r="H155" s="2">
        <v>60</v>
      </c>
      <c r="I155" s="3">
        <v>2.4900000000000002</v>
      </c>
      <c r="J155" s="3">
        <v>6.23</v>
      </c>
      <c r="K155" s="4">
        <v>3</v>
      </c>
      <c r="L155" s="2">
        <v>120</v>
      </c>
      <c r="N155" s="6">
        <v>5.5</v>
      </c>
      <c r="Q155" s="84">
        <v>0</v>
      </c>
      <c r="S155" s="74"/>
      <c r="T155" s="9">
        <v>8.1999999999999993</v>
      </c>
      <c r="W155" s="10">
        <v>0.99099999999999999</v>
      </c>
      <c r="X155" s="11">
        <v>140</v>
      </c>
      <c r="AI155" s="15" t="s">
        <v>142</v>
      </c>
      <c r="AJ155" s="15" t="s">
        <v>139</v>
      </c>
      <c r="AK155" s="15">
        <v>1986</v>
      </c>
      <c r="AL155" s="15" t="s">
        <v>211</v>
      </c>
      <c r="AM155" s="15" t="s">
        <v>141</v>
      </c>
    </row>
    <row r="156" spans="1:39" x14ac:dyDescent="0.3">
      <c r="A156" s="67">
        <v>107</v>
      </c>
      <c r="B156" s="2">
        <v>107</v>
      </c>
      <c r="D156" s="2">
        <v>0</v>
      </c>
      <c r="F156" s="2">
        <v>0</v>
      </c>
      <c r="H156" s="2">
        <v>0</v>
      </c>
      <c r="I156" s="3">
        <v>4.41</v>
      </c>
      <c r="J156" s="3">
        <v>4.84</v>
      </c>
      <c r="K156" s="4">
        <v>3</v>
      </c>
      <c r="L156" s="2">
        <v>0</v>
      </c>
      <c r="N156" s="6">
        <v>5.5</v>
      </c>
      <c r="O156" s="17">
        <v>0</v>
      </c>
      <c r="P156" s="7">
        <v>0.89700000000000002</v>
      </c>
      <c r="Q156" s="84">
        <v>0</v>
      </c>
      <c r="R156" s="8">
        <v>4.41</v>
      </c>
      <c r="S156" s="8">
        <v>4.84</v>
      </c>
      <c r="T156" s="9">
        <v>4.8</v>
      </c>
      <c r="V156" s="10">
        <v>0.318</v>
      </c>
      <c r="W156" s="10">
        <v>0.85099999999999998</v>
      </c>
      <c r="X156" s="11">
        <v>28</v>
      </c>
      <c r="Y156" s="12">
        <v>0.224</v>
      </c>
      <c r="AB156" s="2">
        <v>50</v>
      </c>
      <c r="AC156" s="2">
        <v>224</v>
      </c>
      <c r="AI156" s="15" t="s">
        <v>138</v>
      </c>
      <c r="AJ156" s="15" t="s">
        <v>139</v>
      </c>
      <c r="AK156" s="15">
        <v>1986</v>
      </c>
      <c r="AL156" s="15" t="s">
        <v>211</v>
      </c>
      <c r="AM156" s="15" t="s">
        <v>181</v>
      </c>
    </row>
    <row r="157" spans="1:39" x14ac:dyDescent="0.3">
      <c r="A157" s="67">
        <v>107</v>
      </c>
      <c r="B157" s="2">
        <v>107</v>
      </c>
      <c r="D157" s="2">
        <v>0</v>
      </c>
      <c r="F157" s="2">
        <v>1</v>
      </c>
      <c r="G157" s="3">
        <v>5.5</v>
      </c>
      <c r="H157" s="2">
        <v>0</v>
      </c>
      <c r="I157" s="3">
        <v>4.41</v>
      </c>
      <c r="J157" s="3">
        <v>4.84</v>
      </c>
      <c r="K157" s="4">
        <v>3</v>
      </c>
      <c r="L157" s="2">
        <v>60</v>
      </c>
      <c r="N157" s="6">
        <v>5.5</v>
      </c>
      <c r="O157" s="17">
        <v>60</v>
      </c>
      <c r="P157" s="7">
        <v>0.77600000000000002</v>
      </c>
      <c r="Q157" s="84">
        <v>0</v>
      </c>
      <c r="R157" s="8">
        <v>4.9000000000000004</v>
      </c>
      <c r="T157" s="9">
        <v>7.9</v>
      </c>
      <c r="W157" s="10">
        <v>0.98099999999999998</v>
      </c>
      <c r="X157" s="11">
        <v>90</v>
      </c>
      <c r="Y157" s="12">
        <v>0.45400000000000001</v>
      </c>
      <c r="AB157" s="2">
        <v>28.8</v>
      </c>
      <c r="AC157" s="2">
        <v>168</v>
      </c>
      <c r="AI157" s="15" t="s">
        <v>138</v>
      </c>
      <c r="AJ157" s="15" t="s">
        <v>139</v>
      </c>
      <c r="AK157" s="15">
        <v>1986</v>
      </c>
      <c r="AL157" s="15" t="s">
        <v>211</v>
      </c>
      <c r="AM157" s="15" t="s">
        <v>182</v>
      </c>
    </row>
    <row r="158" spans="1:39" x14ac:dyDescent="0.3">
      <c r="A158" s="1">
        <v>107</v>
      </c>
      <c r="D158" s="2">
        <v>0</v>
      </c>
      <c r="F158" s="2">
        <v>3</v>
      </c>
      <c r="G158" s="3">
        <v>5.5</v>
      </c>
      <c r="H158" s="2">
        <v>0</v>
      </c>
      <c r="I158" s="3">
        <v>4.41</v>
      </c>
      <c r="J158" s="3">
        <v>4.84</v>
      </c>
      <c r="K158" s="4">
        <v>3</v>
      </c>
      <c r="L158" s="2">
        <v>120</v>
      </c>
      <c r="N158" s="6">
        <v>5.5</v>
      </c>
      <c r="Q158" s="84">
        <v>0</v>
      </c>
      <c r="T158" s="9">
        <v>8.3000000000000007</v>
      </c>
      <c r="W158" s="10">
        <v>1</v>
      </c>
      <c r="X158" s="11">
        <v>140</v>
      </c>
      <c r="AI158" s="15" t="s">
        <v>138</v>
      </c>
      <c r="AJ158" s="15" t="s">
        <v>139</v>
      </c>
      <c r="AK158" s="15">
        <v>1986</v>
      </c>
      <c r="AL158" s="15" t="s">
        <v>211</v>
      </c>
      <c r="AM158" s="15" t="s">
        <v>141</v>
      </c>
    </row>
    <row r="159" spans="1:39" x14ac:dyDescent="0.3">
      <c r="A159" s="1">
        <v>231</v>
      </c>
      <c r="D159" s="2">
        <v>0</v>
      </c>
      <c r="F159" s="2">
        <v>0</v>
      </c>
      <c r="H159" s="2">
        <v>0</v>
      </c>
      <c r="I159" s="3">
        <v>7.5</v>
      </c>
      <c r="J159" s="3">
        <v>1.6</v>
      </c>
      <c r="K159" s="4">
        <v>1</v>
      </c>
      <c r="L159" s="2">
        <v>0</v>
      </c>
      <c r="N159" s="6">
        <v>6.8</v>
      </c>
      <c r="O159" s="17">
        <v>0</v>
      </c>
      <c r="Q159" s="84">
        <v>1</v>
      </c>
      <c r="R159" s="8">
        <v>7.5</v>
      </c>
      <c r="S159" s="8">
        <f>J159</f>
        <v>1.6</v>
      </c>
      <c r="T159" s="9">
        <v>9</v>
      </c>
      <c r="U159" s="9">
        <v>0.3</v>
      </c>
      <c r="W159" s="10">
        <v>0.55400000000000005</v>
      </c>
      <c r="X159" s="11">
        <v>30</v>
      </c>
      <c r="AI159" s="15" t="s">
        <v>152</v>
      </c>
      <c r="AJ159" s="15" t="s">
        <v>153</v>
      </c>
      <c r="AK159" s="15">
        <v>2008</v>
      </c>
      <c r="AL159" s="15" t="s">
        <v>154</v>
      </c>
      <c r="AM159" s="15" t="s">
        <v>155</v>
      </c>
    </row>
    <row r="160" spans="1:39" x14ac:dyDescent="0.3">
      <c r="A160" s="1">
        <v>231</v>
      </c>
      <c r="B160" s="2">
        <v>228</v>
      </c>
      <c r="D160" s="2">
        <v>0</v>
      </c>
      <c r="F160" s="2">
        <v>1</v>
      </c>
      <c r="G160" s="3">
        <v>6.8</v>
      </c>
      <c r="H160" s="2">
        <v>0</v>
      </c>
      <c r="I160" s="3">
        <v>7.5</v>
      </c>
      <c r="J160" s="3">
        <v>1.6</v>
      </c>
      <c r="K160" s="4">
        <v>1</v>
      </c>
      <c r="L160" s="2">
        <v>30</v>
      </c>
      <c r="N160" s="6">
        <v>6.8</v>
      </c>
      <c r="O160" s="17">
        <v>30</v>
      </c>
      <c r="P160" s="7">
        <v>0.55400000000000005</v>
      </c>
      <c r="Q160" s="84">
        <v>1</v>
      </c>
      <c r="R160" s="8">
        <v>9</v>
      </c>
      <c r="S160" s="8">
        <v>0.3</v>
      </c>
      <c r="T160" s="9">
        <v>10</v>
      </c>
      <c r="U160" s="9">
        <v>0.1</v>
      </c>
      <c r="W160" s="10">
        <v>0.81399999999999995</v>
      </c>
      <c r="X160" s="11">
        <v>60</v>
      </c>
      <c r="Y160" s="12">
        <v>0.25900000000000001</v>
      </c>
      <c r="AB160" s="2">
        <v>23</v>
      </c>
      <c r="AC160" s="2">
        <v>100</v>
      </c>
      <c r="AE160" s="14">
        <v>0.44600000000000001</v>
      </c>
      <c r="AI160" s="15" t="s">
        <v>152</v>
      </c>
      <c r="AJ160" s="15" t="s">
        <v>153</v>
      </c>
      <c r="AK160" s="15">
        <v>2008</v>
      </c>
      <c r="AL160" s="15" t="s">
        <v>154</v>
      </c>
      <c r="AM160" s="15" t="s">
        <v>155</v>
      </c>
    </row>
    <row r="161" spans="1:39" x14ac:dyDescent="0.3">
      <c r="A161" s="1">
        <v>190</v>
      </c>
      <c r="D161" s="2">
        <v>0</v>
      </c>
      <c r="F161" s="2">
        <v>0</v>
      </c>
      <c r="H161" s="2">
        <v>0</v>
      </c>
      <c r="I161" s="3">
        <v>7.2</v>
      </c>
      <c r="J161" s="3">
        <v>12.4</v>
      </c>
      <c r="K161" s="4">
        <v>1</v>
      </c>
      <c r="L161" s="2">
        <v>0</v>
      </c>
      <c r="N161" s="6">
        <v>6.9</v>
      </c>
      <c r="O161" s="17">
        <v>0</v>
      </c>
      <c r="Q161" s="84">
        <v>1</v>
      </c>
      <c r="R161" s="8">
        <v>7.2</v>
      </c>
      <c r="S161" s="8">
        <v>12.4</v>
      </c>
      <c r="T161" s="9">
        <v>7.4</v>
      </c>
      <c r="U161" s="9">
        <v>5.9</v>
      </c>
      <c r="W161" s="10">
        <v>0.32100000000000001</v>
      </c>
      <c r="X161" s="11">
        <v>30</v>
      </c>
      <c r="AI161" s="15" t="s">
        <v>156</v>
      </c>
      <c r="AJ161" s="15" t="s">
        <v>153</v>
      </c>
      <c r="AK161" s="15">
        <v>2008</v>
      </c>
      <c r="AL161" s="15" t="s">
        <v>154</v>
      </c>
      <c r="AM161" s="15" t="s">
        <v>155</v>
      </c>
    </row>
    <row r="162" spans="1:39" x14ac:dyDescent="0.3">
      <c r="A162" s="1">
        <v>190</v>
      </c>
      <c r="B162" s="2">
        <v>188</v>
      </c>
      <c r="D162" s="2">
        <v>0</v>
      </c>
      <c r="F162" s="2">
        <v>1</v>
      </c>
      <c r="G162" s="3">
        <v>6.8</v>
      </c>
      <c r="H162" s="2">
        <v>0</v>
      </c>
      <c r="I162" s="3">
        <v>7.2</v>
      </c>
      <c r="J162" s="3">
        <v>12.4</v>
      </c>
      <c r="K162" s="4">
        <v>1</v>
      </c>
      <c r="L162" s="2">
        <v>30</v>
      </c>
      <c r="N162" s="6">
        <v>6.8</v>
      </c>
      <c r="O162" s="17">
        <v>30</v>
      </c>
      <c r="P162" s="7">
        <v>0.32100000000000001</v>
      </c>
      <c r="Q162" s="84">
        <v>1</v>
      </c>
      <c r="R162" s="8">
        <v>7.4</v>
      </c>
      <c r="S162" s="8">
        <v>5.9</v>
      </c>
      <c r="T162" s="9">
        <v>9.6999999999999993</v>
      </c>
      <c r="U162" s="9">
        <v>8.5</v>
      </c>
      <c r="W162" s="10">
        <v>0.77400000000000002</v>
      </c>
      <c r="X162" s="11">
        <v>60</v>
      </c>
      <c r="Y162" s="12">
        <v>0.41499999999999998</v>
      </c>
      <c r="AB162" s="2">
        <v>20.399999999999999</v>
      </c>
      <c r="AC162" s="2">
        <v>93</v>
      </c>
      <c r="AE162" s="14">
        <v>0.218</v>
      </c>
      <c r="AI162" s="15" t="s">
        <v>156</v>
      </c>
      <c r="AJ162" s="15" t="s">
        <v>153</v>
      </c>
      <c r="AK162" s="15">
        <v>2008</v>
      </c>
      <c r="AL162" s="15" t="s">
        <v>154</v>
      </c>
      <c r="AM162" s="15" t="s">
        <v>155</v>
      </c>
    </row>
    <row r="163" spans="1:39" x14ac:dyDescent="0.3">
      <c r="A163" s="1">
        <v>190</v>
      </c>
      <c r="D163" s="2">
        <v>0</v>
      </c>
      <c r="F163" s="2">
        <v>0</v>
      </c>
      <c r="H163" s="2">
        <v>0</v>
      </c>
      <c r="I163" s="3">
        <v>6.8</v>
      </c>
      <c r="J163" s="3">
        <v>5.4</v>
      </c>
      <c r="K163" s="4">
        <v>2</v>
      </c>
      <c r="L163" s="2">
        <v>0</v>
      </c>
      <c r="N163" s="6">
        <v>5.5</v>
      </c>
      <c r="O163" s="17">
        <v>0</v>
      </c>
      <c r="Q163" s="84">
        <v>1</v>
      </c>
      <c r="R163" s="8">
        <v>6.8</v>
      </c>
      <c r="S163" s="8">
        <v>5.4</v>
      </c>
      <c r="T163" s="9">
        <v>8.6</v>
      </c>
      <c r="U163" s="9">
        <v>2.7</v>
      </c>
      <c r="W163" s="10">
        <v>0.621</v>
      </c>
      <c r="X163" s="11">
        <v>30</v>
      </c>
      <c r="AI163" s="15" t="s">
        <v>156</v>
      </c>
      <c r="AJ163" s="15" t="s">
        <v>153</v>
      </c>
      <c r="AK163" s="15">
        <v>2008</v>
      </c>
      <c r="AL163" s="15" t="s">
        <v>154</v>
      </c>
    </row>
    <row r="164" spans="1:39" x14ac:dyDescent="0.3">
      <c r="A164" s="1">
        <v>190</v>
      </c>
      <c r="D164" s="2">
        <v>0</v>
      </c>
      <c r="F164" s="2">
        <v>0</v>
      </c>
      <c r="H164" s="2">
        <v>0</v>
      </c>
      <c r="I164" s="3">
        <v>5.8</v>
      </c>
      <c r="J164" s="3">
        <v>12.4</v>
      </c>
      <c r="K164" s="4">
        <v>3</v>
      </c>
      <c r="L164" s="2">
        <v>0</v>
      </c>
      <c r="N164" s="6">
        <v>6.5</v>
      </c>
      <c r="O164" s="17">
        <v>0</v>
      </c>
      <c r="Q164" s="84">
        <v>1</v>
      </c>
      <c r="R164" s="8">
        <v>5.8</v>
      </c>
      <c r="S164" s="8">
        <v>12.4</v>
      </c>
      <c r="T164" s="9">
        <v>5.6</v>
      </c>
      <c r="U164" s="9">
        <v>8.6</v>
      </c>
      <c r="W164" s="10">
        <v>0.16800000000000001</v>
      </c>
      <c r="X164" s="11">
        <v>30</v>
      </c>
      <c r="AI164" s="15" t="s">
        <v>156</v>
      </c>
      <c r="AJ164" s="15" t="s">
        <v>153</v>
      </c>
      <c r="AK164" s="15">
        <v>2008</v>
      </c>
      <c r="AL164" s="15" t="s">
        <v>154</v>
      </c>
    </row>
    <row r="165" spans="1:39" x14ac:dyDescent="0.3">
      <c r="A165" s="1">
        <v>168</v>
      </c>
      <c r="D165" s="2">
        <v>0</v>
      </c>
      <c r="F165" s="2">
        <v>7</v>
      </c>
      <c r="G165" s="3">
        <v>6</v>
      </c>
      <c r="K165" s="4">
        <v>1</v>
      </c>
      <c r="L165" s="2">
        <v>210</v>
      </c>
      <c r="M165" s="5">
        <f>40/5</f>
        <v>8</v>
      </c>
      <c r="O165" s="17">
        <v>210</v>
      </c>
      <c r="P165" s="7">
        <v>0.99</v>
      </c>
      <c r="Q165" s="84">
        <v>1</v>
      </c>
      <c r="R165" s="8">
        <v>11</v>
      </c>
      <c r="S165" s="8">
        <v>0.1</v>
      </c>
      <c r="T165" s="9">
        <v>11</v>
      </c>
      <c r="U165" s="9">
        <v>0.1</v>
      </c>
      <c r="V165" s="10">
        <v>0.56000000000000005</v>
      </c>
      <c r="W165" s="10">
        <v>1</v>
      </c>
      <c r="X165" s="11">
        <v>217</v>
      </c>
      <c r="AF165" s="80" t="s">
        <v>528</v>
      </c>
      <c r="AG165" s="80" t="s">
        <v>394</v>
      </c>
      <c r="AI165" s="15" t="s">
        <v>536</v>
      </c>
      <c r="AJ165" s="15" t="s">
        <v>527</v>
      </c>
      <c r="AK165" s="15">
        <v>2012</v>
      </c>
      <c r="AL165" s="15" t="s">
        <v>526</v>
      </c>
    </row>
    <row r="166" spans="1:39" x14ac:dyDescent="0.3">
      <c r="A166" s="1">
        <v>168</v>
      </c>
      <c r="D166" s="2">
        <v>1</v>
      </c>
      <c r="E166" s="2">
        <v>8</v>
      </c>
      <c r="F166" s="2">
        <v>7</v>
      </c>
      <c r="G166" s="3">
        <v>6</v>
      </c>
      <c r="K166" s="4">
        <v>1</v>
      </c>
      <c r="L166" s="2">
        <v>240</v>
      </c>
      <c r="O166" s="17">
        <v>240</v>
      </c>
      <c r="P166" s="7">
        <v>1</v>
      </c>
      <c r="Q166" s="84">
        <v>1</v>
      </c>
      <c r="R166" s="8">
        <v>11</v>
      </c>
      <c r="S166" s="8">
        <v>0.1</v>
      </c>
      <c r="AF166" s="80" t="s">
        <v>528</v>
      </c>
      <c r="AG166" s="80" t="s">
        <v>394</v>
      </c>
      <c r="AI166" s="15" t="s">
        <v>536</v>
      </c>
      <c r="AJ166" s="15" t="s">
        <v>527</v>
      </c>
      <c r="AK166" s="15">
        <v>2012</v>
      </c>
      <c r="AL166" s="15" t="s">
        <v>526</v>
      </c>
    </row>
    <row r="167" spans="1:39" x14ac:dyDescent="0.3">
      <c r="A167" s="1">
        <v>183</v>
      </c>
      <c r="D167" s="2">
        <v>0</v>
      </c>
      <c r="F167" s="2">
        <v>7</v>
      </c>
      <c r="G167" s="3">
        <v>6</v>
      </c>
      <c r="K167" s="4">
        <v>1</v>
      </c>
      <c r="L167" s="2">
        <v>210</v>
      </c>
      <c r="M167" s="5">
        <v>40</v>
      </c>
      <c r="O167" s="17">
        <v>210</v>
      </c>
      <c r="P167" s="7">
        <v>1</v>
      </c>
      <c r="Q167" s="84">
        <v>1</v>
      </c>
      <c r="R167" s="8">
        <v>11</v>
      </c>
      <c r="S167" s="8">
        <v>0.1</v>
      </c>
      <c r="T167" s="9">
        <v>11</v>
      </c>
      <c r="U167" s="9">
        <v>0.1</v>
      </c>
      <c r="V167" s="10">
        <v>0.86</v>
      </c>
      <c r="W167" s="10">
        <v>1</v>
      </c>
      <c r="X167" s="11">
        <v>217</v>
      </c>
      <c r="AF167" s="80" t="s">
        <v>528</v>
      </c>
      <c r="AI167" s="15" t="s">
        <v>537</v>
      </c>
      <c r="AJ167" s="15" t="s">
        <v>527</v>
      </c>
      <c r="AK167" s="15">
        <v>2012</v>
      </c>
      <c r="AL167" s="15" t="s">
        <v>526</v>
      </c>
    </row>
    <row r="168" spans="1:39" x14ac:dyDescent="0.3">
      <c r="A168" s="1">
        <v>183</v>
      </c>
      <c r="D168" s="2">
        <v>1</v>
      </c>
      <c r="E168" s="2">
        <v>40</v>
      </c>
      <c r="F168" s="2">
        <v>7</v>
      </c>
      <c r="G168" s="3">
        <v>6</v>
      </c>
      <c r="K168" s="4">
        <v>1</v>
      </c>
      <c r="L168" s="2">
        <v>240</v>
      </c>
      <c r="O168" s="17">
        <v>240</v>
      </c>
      <c r="P168" s="7">
        <v>1</v>
      </c>
      <c r="Q168" s="84">
        <v>1</v>
      </c>
      <c r="R168" s="8">
        <v>11</v>
      </c>
      <c r="S168" s="8">
        <v>0.1</v>
      </c>
      <c r="AF168" s="80" t="s">
        <v>528</v>
      </c>
      <c r="AI168" s="15" t="s">
        <v>537</v>
      </c>
      <c r="AJ168" s="15" t="s">
        <v>527</v>
      </c>
      <c r="AK168" s="15">
        <v>2012</v>
      </c>
      <c r="AL168" s="15" t="s">
        <v>526</v>
      </c>
    </row>
    <row r="169" spans="1:39" x14ac:dyDescent="0.3">
      <c r="A169" s="1">
        <v>174</v>
      </c>
      <c r="D169" s="2">
        <v>0</v>
      </c>
      <c r="F169" s="2">
        <v>7</v>
      </c>
      <c r="G169" s="3">
        <v>6</v>
      </c>
      <c r="K169" s="4">
        <v>1</v>
      </c>
      <c r="L169" s="2">
        <v>210</v>
      </c>
      <c r="N169" s="6">
        <v>6.8</v>
      </c>
      <c r="O169" s="17">
        <v>210</v>
      </c>
      <c r="P169" s="7">
        <v>0.99</v>
      </c>
      <c r="Q169" s="84">
        <v>1</v>
      </c>
      <c r="R169" s="8">
        <v>11</v>
      </c>
      <c r="S169" s="8">
        <v>0.1</v>
      </c>
      <c r="T169" s="9">
        <v>11</v>
      </c>
      <c r="U169" s="9">
        <v>0.1</v>
      </c>
      <c r="V169" s="10">
        <v>0.28999999999999998</v>
      </c>
      <c r="W169" s="10">
        <v>0.99</v>
      </c>
      <c r="X169" s="11">
        <v>217</v>
      </c>
      <c r="AF169" s="80" t="s">
        <v>528</v>
      </c>
      <c r="AI169" s="15" t="s">
        <v>535</v>
      </c>
      <c r="AJ169" s="15" t="s">
        <v>527</v>
      </c>
      <c r="AK169" s="15">
        <v>2012</v>
      </c>
      <c r="AL169" s="15" t="s">
        <v>526</v>
      </c>
    </row>
    <row r="170" spans="1:39" x14ac:dyDescent="0.3">
      <c r="A170" s="1">
        <v>174</v>
      </c>
      <c r="D170" s="2">
        <v>0</v>
      </c>
      <c r="F170" s="2">
        <v>8</v>
      </c>
      <c r="G170" s="3">
        <v>6</v>
      </c>
      <c r="K170" s="4">
        <v>1</v>
      </c>
      <c r="L170" s="2">
        <v>240</v>
      </c>
      <c r="O170" s="17">
        <v>240</v>
      </c>
      <c r="P170" s="7">
        <v>1</v>
      </c>
      <c r="Q170" s="84">
        <v>1</v>
      </c>
      <c r="R170" s="8">
        <v>11</v>
      </c>
      <c r="S170" s="8">
        <v>0.1</v>
      </c>
      <c r="AF170" s="80" t="s">
        <v>528</v>
      </c>
      <c r="AI170" s="15" t="s">
        <v>535</v>
      </c>
      <c r="AJ170" s="15" t="s">
        <v>527</v>
      </c>
      <c r="AK170" s="15">
        <v>2012</v>
      </c>
      <c r="AL170" s="15" t="s">
        <v>526</v>
      </c>
    </row>
    <row r="171" spans="1:39" x14ac:dyDescent="0.3">
      <c r="A171" s="1">
        <v>175</v>
      </c>
      <c r="D171" s="2">
        <v>0</v>
      </c>
      <c r="F171" s="2">
        <v>7</v>
      </c>
      <c r="G171" s="3">
        <v>6</v>
      </c>
      <c r="K171" s="4">
        <v>1</v>
      </c>
      <c r="L171" s="2">
        <v>210</v>
      </c>
      <c r="N171" s="6">
        <v>6.15</v>
      </c>
      <c r="O171" s="17">
        <v>210</v>
      </c>
      <c r="P171" s="7">
        <v>0.99</v>
      </c>
      <c r="Q171" s="84">
        <v>1</v>
      </c>
      <c r="R171" s="8">
        <v>11</v>
      </c>
      <c r="S171" s="8">
        <v>0.1</v>
      </c>
      <c r="T171" s="9">
        <v>11</v>
      </c>
      <c r="U171" s="9">
        <v>0.1</v>
      </c>
      <c r="V171" s="10">
        <v>0.39</v>
      </c>
      <c r="W171" s="10">
        <v>0.99</v>
      </c>
      <c r="X171" s="11">
        <v>217</v>
      </c>
      <c r="AF171" s="80" t="s">
        <v>528</v>
      </c>
      <c r="AI171" s="15" t="s">
        <v>534</v>
      </c>
      <c r="AJ171" s="15" t="s">
        <v>527</v>
      </c>
      <c r="AK171" s="15">
        <v>2012</v>
      </c>
      <c r="AL171" s="15" t="s">
        <v>526</v>
      </c>
    </row>
    <row r="172" spans="1:39" x14ac:dyDescent="0.3">
      <c r="A172" s="1">
        <v>175</v>
      </c>
      <c r="D172" s="2">
        <v>0</v>
      </c>
      <c r="F172" s="2">
        <v>8</v>
      </c>
      <c r="G172" s="3">
        <v>6</v>
      </c>
      <c r="K172" s="4">
        <v>1</v>
      </c>
      <c r="L172" s="2">
        <v>240</v>
      </c>
      <c r="O172" s="17">
        <v>240</v>
      </c>
      <c r="P172" s="7">
        <v>0.99</v>
      </c>
      <c r="Q172" s="84">
        <v>1</v>
      </c>
      <c r="R172" s="8">
        <v>11</v>
      </c>
      <c r="S172" s="8">
        <v>0.1</v>
      </c>
      <c r="AF172" s="80" t="s">
        <v>528</v>
      </c>
      <c r="AI172" s="15" t="s">
        <v>534</v>
      </c>
      <c r="AJ172" s="15" t="s">
        <v>527</v>
      </c>
      <c r="AK172" s="15">
        <v>2012</v>
      </c>
      <c r="AL172" s="15" t="s">
        <v>526</v>
      </c>
    </row>
    <row r="173" spans="1:39" x14ac:dyDescent="0.3">
      <c r="A173" s="1">
        <v>169</v>
      </c>
      <c r="D173" s="2">
        <v>0</v>
      </c>
      <c r="F173" s="2">
        <v>7</v>
      </c>
      <c r="G173" s="3">
        <v>6</v>
      </c>
      <c r="K173" s="4">
        <v>1</v>
      </c>
      <c r="L173" s="2">
        <v>240</v>
      </c>
      <c r="M173" s="5">
        <v>40</v>
      </c>
      <c r="O173" s="17">
        <v>240</v>
      </c>
      <c r="P173" s="7">
        <v>0.98</v>
      </c>
      <c r="Q173" s="84">
        <v>1</v>
      </c>
      <c r="R173" s="8">
        <v>11</v>
      </c>
      <c r="S173" s="8">
        <v>0.1</v>
      </c>
      <c r="T173" s="9">
        <v>11</v>
      </c>
      <c r="U173" s="9">
        <v>0.1</v>
      </c>
      <c r="V173" s="10">
        <v>0.85</v>
      </c>
      <c r="W173" s="10">
        <v>0.99</v>
      </c>
      <c r="X173" s="11">
        <v>247</v>
      </c>
      <c r="AF173" s="80" t="s">
        <v>528</v>
      </c>
      <c r="AI173" s="15" t="s">
        <v>538</v>
      </c>
      <c r="AJ173" s="15" t="s">
        <v>527</v>
      </c>
      <c r="AK173" s="15">
        <v>2012</v>
      </c>
      <c r="AL173" s="15" t="s">
        <v>526</v>
      </c>
    </row>
    <row r="174" spans="1:39" x14ac:dyDescent="0.3">
      <c r="A174" s="1">
        <v>169</v>
      </c>
      <c r="D174" s="2">
        <v>1</v>
      </c>
      <c r="E174" s="2">
        <v>40</v>
      </c>
      <c r="F174" s="2">
        <v>7</v>
      </c>
      <c r="G174" s="3">
        <v>6</v>
      </c>
      <c r="K174" s="4">
        <v>1</v>
      </c>
      <c r="L174" s="2">
        <v>270</v>
      </c>
      <c r="O174" s="17">
        <v>270</v>
      </c>
      <c r="P174" s="7">
        <v>1</v>
      </c>
      <c r="Q174" s="84">
        <v>1</v>
      </c>
      <c r="R174" s="8">
        <v>11</v>
      </c>
      <c r="S174" s="8">
        <v>0.1</v>
      </c>
      <c r="AF174" s="80" t="s">
        <v>528</v>
      </c>
      <c r="AI174" s="15" t="s">
        <v>538</v>
      </c>
      <c r="AJ174" s="15" t="s">
        <v>527</v>
      </c>
      <c r="AK174" s="15">
        <v>2012</v>
      </c>
      <c r="AL174" s="15" t="s">
        <v>526</v>
      </c>
    </row>
    <row r="175" spans="1:39" x14ac:dyDescent="0.3">
      <c r="A175" s="1">
        <v>114</v>
      </c>
      <c r="D175" s="2">
        <v>0</v>
      </c>
      <c r="F175" s="2">
        <v>0</v>
      </c>
      <c r="K175" s="4">
        <v>1</v>
      </c>
      <c r="L175" s="2">
        <v>210</v>
      </c>
      <c r="N175" s="6">
        <v>6</v>
      </c>
      <c r="Q175" s="84">
        <v>1</v>
      </c>
      <c r="AF175" s="80" t="s">
        <v>528</v>
      </c>
      <c r="AI175" s="15" t="s">
        <v>529</v>
      </c>
      <c r="AJ175" s="15" t="s">
        <v>527</v>
      </c>
      <c r="AK175" s="15">
        <v>2012</v>
      </c>
      <c r="AL175" s="15" t="s">
        <v>526</v>
      </c>
    </row>
    <row r="176" spans="1:39" x14ac:dyDescent="0.3">
      <c r="A176" s="1">
        <v>96</v>
      </c>
      <c r="D176" s="2">
        <v>0</v>
      </c>
      <c r="F176" s="2">
        <v>1</v>
      </c>
      <c r="K176" s="4">
        <v>1</v>
      </c>
      <c r="L176" s="2">
        <v>210</v>
      </c>
      <c r="N176" s="6">
        <v>6</v>
      </c>
      <c r="Q176" s="84">
        <v>1</v>
      </c>
      <c r="AF176" s="80" t="s">
        <v>528</v>
      </c>
      <c r="AI176" s="15" t="s">
        <v>530</v>
      </c>
      <c r="AJ176" s="15" t="s">
        <v>527</v>
      </c>
      <c r="AK176" s="15">
        <v>2012</v>
      </c>
      <c r="AL176" s="15" t="s">
        <v>526</v>
      </c>
    </row>
    <row r="177" spans="1:39" x14ac:dyDescent="0.3">
      <c r="A177" s="1">
        <v>174</v>
      </c>
      <c r="D177" s="2">
        <v>0</v>
      </c>
      <c r="F177" s="2">
        <v>2</v>
      </c>
      <c r="K177" s="4">
        <v>1</v>
      </c>
      <c r="L177" s="2">
        <v>210</v>
      </c>
      <c r="N177" s="6">
        <v>6</v>
      </c>
      <c r="Q177" s="84">
        <v>1</v>
      </c>
      <c r="AF177" s="80" t="s">
        <v>528</v>
      </c>
      <c r="AI177" s="15" t="s">
        <v>531</v>
      </c>
      <c r="AJ177" s="15" t="s">
        <v>527</v>
      </c>
      <c r="AK177" s="15">
        <v>2012</v>
      </c>
      <c r="AL177" s="15" t="s">
        <v>526</v>
      </c>
    </row>
    <row r="178" spans="1:39" x14ac:dyDescent="0.3">
      <c r="A178" s="1">
        <v>289</v>
      </c>
      <c r="D178" s="2">
        <v>0</v>
      </c>
      <c r="F178" s="2">
        <v>3</v>
      </c>
      <c r="K178" s="4">
        <v>1</v>
      </c>
      <c r="L178" s="2">
        <v>210</v>
      </c>
      <c r="N178" s="6">
        <v>6</v>
      </c>
      <c r="Q178" s="84">
        <v>1</v>
      </c>
      <c r="AF178" s="80" t="s">
        <v>528</v>
      </c>
      <c r="AI178" s="15" t="s">
        <v>532</v>
      </c>
      <c r="AJ178" s="15" t="s">
        <v>527</v>
      </c>
      <c r="AK178" s="15">
        <v>2012</v>
      </c>
      <c r="AL178" s="15" t="s">
        <v>526</v>
      </c>
    </row>
    <row r="179" spans="1:39" x14ac:dyDescent="0.3">
      <c r="A179" s="67">
        <v>186</v>
      </c>
      <c r="D179" s="2">
        <v>0</v>
      </c>
      <c r="F179" s="2">
        <v>4</v>
      </c>
      <c r="K179" s="4">
        <v>1</v>
      </c>
      <c r="L179" s="2">
        <v>210</v>
      </c>
      <c r="N179" s="6">
        <v>6</v>
      </c>
      <c r="Q179" s="84">
        <v>1</v>
      </c>
      <c r="AF179" s="80" t="s">
        <v>528</v>
      </c>
      <c r="AI179" s="15" t="s">
        <v>533</v>
      </c>
      <c r="AJ179" s="15" t="s">
        <v>527</v>
      </c>
      <c r="AK179" s="15">
        <v>2012</v>
      </c>
      <c r="AL179" s="15" t="s">
        <v>526</v>
      </c>
    </row>
    <row r="180" spans="1:39" x14ac:dyDescent="0.3">
      <c r="A180" s="67">
        <v>168</v>
      </c>
      <c r="D180" s="2">
        <v>0</v>
      </c>
      <c r="F180" s="2">
        <v>3</v>
      </c>
      <c r="G180" s="3">
        <v>5</v>
      </c>
      <c r="K180" s="4">
        <v>2</v>
      </c>
      <c r="L180" s="2">
        <v>210</v>
      </c>
      <c r="M180" s="5">
        <f>8/5</f>
        <v>1.6</v>
      </c>
      <c r="O180" s="17">
        <v>210</v>
      </c>
      <c r="P180" s="7">
        <v>0.76</v>
      </c>
      <c r="Q180" s="84">
        <v>1</v>
      </c>
      <c r="R180" s="8">
        <v>8.1699250014423122</v>
      </c>
      <c r="S180" s="8">
        <v>0.14645345445264832</v>
      </c>
      <c r="T180" s="9">
        <v>9.8297227350860581</v>
      </c>
      <c r="U180" s="9">
        <v>0.1</v>
      </c>
      <c r="V180" s="10">
        <v>0.43</v>
      </c>
      <c r="W180" s="10">
        <v>0.83</v>
      </c>
      <c r="X180" s="11">
        <v>217</v>
      </c>
      <c r="AF180" s="80" t="s">
        <v>528</v>
      </c>
      <c r="AG180" s="80" t="s">
        <v>394</v>
      </c>
      <c r="AI180" s="15" t="s">
        <v>536</v>
      </c>
      <c r="AJ180" s="15" t="s">
        <v>527</v>
      </c>
      <c r="AK180" s="15">
        <v>2012</v>
      </c>
      <c r="AL180" s="15" t="s">
        <v>526</v>
      </c>
    </row>
    <row r="181" spans="1:39" x14ac:dyDescent="0.3">
      <c r="A181" s="67">
        <v>168</v>
      </c>
      <c r="D181" s="2">
        <v>1</v>
      </c>
      <c r="E181" s="2">
        <v>1.6</v>
      </c>
      <c r="F181" s="2">
        <v>3</v>
      </c>
      <c r="G181" s="3">
        <v>5</v>
      </c>
      <c r="K181" s="4">
        <v>2</v>
      </c>
      <c r="L181" s="2">
        <v>240</v>
      </c>
      <c r="O181" s="17">
        <v>240</v>
      </c>
      <c r="P181" s="7">
        <v>0.89</v>
      </c>
      <c r="Q181" s="84">
        <v>1</v>
      </c>
      <c r="R181" s="8">
        <v>9.4998458870832057</v>
      </c>
      <c r="S181" s="8">
        <v>6.5077051228654731E-2</v>
      </c>
      <c r="AF181" s="80" t="s">
        <v>528</v>
      </c>
      <c r="AG181" s="80" t="s">
        <v>394</v>
      </c>
      <c r="AI181" s="15" t="s">
        <v>536</v>
      </c>
      <c r="AJ181" s="15" t="s">
        <v>527</v>
      </c>
      <c r="AK181" s="15">
        <v>2012</v>
      </c>
      <c r="AL181" s="15" t="s">
        <v>526</v>
      </c>
    </row>
    <row r="182" spans="1:39" s="82" customFormat="1" x14ac:dyDescent="0.3">
      <c r="A182" s="67">
        <v>183</v>
      </c>
      <c r="B182" s="68"/>
      <c r="C182" s="68"/>
      <c r="D182" s="68">
        <v>0</v>
      </c>
      <c r="E182" s="68"/>
      <c r="F182" s="68">
        <v>3</v>
      </c>
      <c r="G182" s="69">
        <v>5</v>
      </c>
      <c r="H182" s="68"/>
      <c r="I182" s="69"/>
      <c r="J182" s="69"/>
      <c r="K182" s="70">
        <v>2</v>
      </c>
      <c r="L182" s="68">
        <v>210</v>
      </c>
      <c r="M182" s="71">
        <v>8</v>
      </c>
      <c r="N182" s="72"/>
      <c r="O182" s="84">
        <v>210</v>
      </c>
      <c r="P182" s="73">
        <v>0.77</v>
      </c>
      <c r="Q182" s="84">
        <v>1</v>
      </c>
      <c r="R182" s="74">
        <v>8.4998458870832057</v>
      </c>
      <c r="S182" s="74">
        <v>0.11510110123801649</v>
      </c>
      <c r="T182" s="75">
        <v>11</v>
      </c>
      <c r="U182" s="75">
        <v>0.1</v>
      </c>
      <c r="V182" s="76">
        <v>0.7</v>
      </c>
      <c r="W182" s="76">
        <v>0.99</v>
      </c>
      <c r="X182" s="77">
        <v>217</v>
      </c>
      <c r="Y182" s="78"/>
      <c r="Z182" s="79"/>
      <c r="AA182" s="69"/>
      <c r="AB182" s="68"/>
      <c r="AC182" s="68"/>
      <c r="AD182" s="68"/>
      <c r="AE182" s="80"/>
      <c r="AF182" s="80" t="s">
        <v>528</v>
      </c>
      <c r="AG182" s="80"/>
      <c r="AH182" s="80"/>
      <c r="AI182" s="81" t="s">
        <v>537</v>
      </c>
      <c r="AJ182" s="81" t="s">
        <v>527</v>
      </c>
      <c r="AK182" s="81">
        <v>2012</v>
      </c>
      <c r="AL182" s="81" t="s">
        <v>526</v>
      </c>
      <c r="AM182" s="81"/>
    </row>
    <row r="183" spans="1:39" s="82" customFormat="1" x14ac:dyDescent="0.3">
      <c r="A183" s="67">
        <v>183</v>
      </c>
      <c r="B183" s="68"/>
      <c r="C183" s="68"/>
      <c r="D183" s="68">
        <v>1</v>
      </c>
      <c r="E183" s="68">
        <v>8</v>
      </c>
      <c r="F183" s="68">
        <v>3</v>
      </c>
      <c r="G183" s="69">
        <v>5</v>
      </c>
      <c r="H183" s="68"/>
      <c r="I183" s="69"/>
      <c r="J183" s="69"/>
      <c r="K183" s="70">
        <v>2</v>
      </c>
      <c r="L183" s="68">
        <v>240</v>
      </c>
      <c r="M183" s="71"/>
      <c r="N183" s="72"/>
      <c r="O183" s="84">
        <v>240</v>
      </c>
      <c r="P183" s="73">
        <v>0.99</v>
      </c>
      <c r="Q183" s="84">
        <v>1</v>
      </c>
      <c r="R183" s="74">
        <v>11</v>
      </c>
      <c r="S183" s="74">
        <v>4.5024923633601183E-3</v>
      </c>
      <c r="T183" s="75"/>
      <c r="U183" s="75"/>
      <c r="V183" s="76"/>
      <c r="W183" s="76"/>
      <c r="X183" s="77"/>
      <c r="Y183" s="78"/>
      <c r="Z183" s="79"/>
      <c r="AA183" s="69"/>
      <c r="AB183" s="68"/>
      <c r="AC183" s="68"/>
      <c r="AD183" s="68"/>
      <c r="AE183" s="80"/>
      <c r="AF183" s="80" t="s">
        <v>528</v>
      </c>
      <c r="AG183" s="80"/>
      <c r="AH183" s="80"/>
      <c r="AI183" s="81" t="s">
        <v>537</v>
      </c>
      <c r="AJ183" s="81" t="s">
        <v>527</v>
      </c>
      <c r="AK183" s="81">
        <v>2012</v>
      </c>
      <c r="AL183" s="81" t="s">
        <v>526</v>
      </c>
      <c r="AM183" s="81"/>
    </row>
    <row r="184" spans="1:39" s="82" customFormat="1" x14ac:dyDescent="0.3">
      <c r="A184" s="67">
        <v>174</v>
      </c>
      <c r="B184" s="68"/>
      <c r="C184" s="68"/>
      <c r="D184" s="68">
        <v>0</v>
      </c>
      <c r="E184" s="68"/>
      <c r="F184" s="68">
        <v>3</v>
      </c>
      <c r="G184" s="69">
        <v>5</v>
      </c>
      <c r="H184" s="68"/>
      <c r="I184" s="69"/>
      <c r="J184" s="69"/>
      <c r="K184" s="70">
        <v>2</v>
      </c>
      <c r="L184" s="68">
        <v>210</v>
      </c>
      <c r="M184" s="71"/>
      <c r="N184" s="72"/>
      <c r="O184" s="84">
        <v>210</v>
      </c>
      <c r="P184" s="73">
        <v>0.62</v>
      </c>
      <c r="Q184" s="84">
        <v>1</v>
      </c>
      <c r="R184" s="74">
        <v>7.4998458870832057</v>
      </c>
      <c r="S184" s="74">
        <v>0.40899940031773191</v>
      </c>
      <c r="T184" s="75">
        <v>7.3309168781146168</v>
      </c>
      <c r="U184" s="75">
        <v>0.4628705245271687</v>
      </c>
      <c r="V184" s="76">
        <v>0.13</v>
      </c>
      <c r="W184" s="76">
        <v>0.64</v>
      </c>
      <c r="X184" s="77">
        <v>217</v>
      </c>
      <c r="Y184" s="78"/>
      <c r="Z184" s="79"/>
      <c r="AA184" s="69"/>
      <c r="AB184" s="68"/>
      <c r="AC184" s="68"/>
      <c r="AD184" s="68"/>
      <c r="AE184" s="80"/>
      <c r="AF184" s="80" t="s">
        <v>528</v>
      </c>
      <c r="AG184" s="80"/>
      <c r="AH184" s="80"/>
      <c r="AI184" s="81" t="s">
        <v>535</v>
      </c>
      <c r="AJ184" s="81" t="s">
        <v>527</v>
      </c>
      <c r="AK184" s="81">
        <v>2012</v>
      </c>
      <c r="AL184" s="81" t="s">
        <v>526</v>
      </c>
      <c r="AM184" s="81"/>
    </row>
    <row r="185" spans="1:39" x14ac:dyDescent="0.3">
      <c r="A185" s="67">
        <v>174</v>
      </c>
      <c r="D185" s="2">
        <v>0</v>
      </c>
      <c r="F185" s="2">
        <v>3</v>
      </c>
      <c r="G185" s="3">
        <v>5</v>
      </c>
      <c r="K185" s="4">
        <v>2</v>
      </c>
      <c r="L185" s="2">
        <v>240</v>
      </c>
      <c r="O185" s="17">
        <v>240</v>
      </c>
      <c r="P185" s="7">
        <v>0.64</v>
      </c>
      <c r="Q185" s="84">
        <v>1</v>
      </c>
      <c r="R185" s="8">
        <v>7.4998458870832057</v>
      </c>
      <c r="S185" s="8">
        <v>0.58881850200601404</v>
      </c>
      <c r="AF185" s="80" t="s">
        <v>528</v>
      </c>
      <c r="AI185" s="15" t="s">
        <v>535</v>
      </c>
      <c r="AJ185" s="15" t="s">
        <v>527</v>
      </c>
      <c r="AK185" s="15">
        <v>2012</v>
      </c>
      <c r="AL185" s="15" t="s">
        <v>526</v>
      </c>
    </row>
    <row r="186" spans="1:39" x14ac:dyDescent="0.3">
      <c r="A186" s="67">
        <v>175</v>
      </c>
      <c r="D186" s="2">
        <v>0</v>
      </c>
      <c r="F186" s="2">
        <v>3</v>
      </c>
      <c r="G186" s="3">
        <v>5</v>
      </c>
      <c r="K186" s="4">
        <v>2</v>
      </c>
      <c r="L186" s="2">
        <v>210</v>
      </c>
      <c r="O186" s="17">
        <v>210</v>
      </c>
      <c r="P186" s="7">
        <v>0.73</v>
      </c>
      <c r="Q186" s="84">
        <v>1</v>
      </c>
      <c r="R186" s="8">
        <v>8.4998458870832057</v>
      </c>
      <c r="S186" s="8">
        <v>0.18151058466644701</v>
      </c>
      <c r="T186" s="9">
        <v>8.4998458870832057</v>
      </c>
      <c r="U186" s="9">
        <v>0.18151058466644701</v>
      </c>
      <c r="V186" s="10">
        <v>0.12</v>
      </c>
      <c r="W186" s="10">
        <v>0.74</v>
      </c>
      <c r="X186" s="11">
        <v>217</v>
      </c>
      <c r="AF186" s="80" t="s">
        <v>528</v>
      </c>
      <c r="AI186" s="15" t="s">
        <v>534</v>
      </c>
      <c r="AJ186" s="15" t="s">
        <v>527</v>
      </c>
      <c r="AK186" s="15">
        <v>2012</v>
      </c>
      <c r="AL186" s="15" t="s">
        <v>526</v>
      </c>
    </row>
    <row r="187" spans="1:39" x14ac:dyDescent="0.3">
      <c r="A187" s="67">
        <v>175</v>
      </c>
      <c r="D187" s="2">
        <v>0</v>
      </c>
      <c r="F187" s="2">
        <v>3</v>
      </c>
      <c r="G187" s="3">
        <v>5</v>
      </c>
      <c r="K187" s="4">
        <v>2</v>
      </c>
      <c r="L187" s="2">
        <v>240</v>
      </c>
      <c r="O187" s="17">
        <v>240</v>
      </c>
      <c r="P187" s="7">
        <v>0.73</v>
      </c>
      <c r="Q187" s="84">
        <v>1</v>
      </c>
      <c r="R187" s="8">
        <v>8.1699250014423122</v>
      </c>
      <c r="S187" s="8">
        <v>0.18151058466644748</v>
      </c>
      <c r="AF187" s="80" t="s">
        <v>528</v>
      </c>
      <c r="AI187" s="15" t="s">
        <v>534</v>
      </c>
      <c r="AJ187" s="15" t="s">
        <v>527</v>
      </c>
      <c r="AK187" s="15">
        <v>2012</v>
      </c>
      <c r="AL187" s="15" t="s">
        <v>526</v>
      </c>
    </row>
    <row r="188" spans="1:39" s="82" customFormat="1" x14ac:dyDescent="0.3">
      <c r="A188" s="67">
        <v>169</v>
      </c>
      <c r="B188" s="68"/>
      <c r="C188" s="68"/>
      <c r="D188" s="68">
        <v>0</v>
      </c>
      <c r="E188" s="68"/>
      <c r="F188" s="68">
        <v>3</v>
      </c>
      <c r="G188" s="69">
        <v>5</v>
      </c>
      <c r="H188" s="68"/>
      <c r="I188" s="69"/>
      <c r="J188" s="69"/>
      <c r="K188" s="70">
        <v>2</v>
      </c>
      <c r="L188" s="68">
        <v>240</v>
      </c>
      <c r="M188" s="71">
        <v>8</v>
      </c>
      <c r="N188" s="72"/>
      <c r="O188" s="84">
        <v>240</v>
      </c>
      <c r="P188" s="73">
        <v>0.72</v>
      </c>
      <c r="Q188" s="84">
        <v>1</v>
      </c>
      <c r="R188" s="74">
        <v>8.4998458870832057</v>
      </c>
      <c r="S188" s="74">
        <v>0.26030820491461892</v>
      </c>
      <c r="T188" s="75">
        <v>11</v>
      </c>
      <c r="U188" s="75">
        <v>0.1</v>
      </c>
      <c r="V188" s="76">
        <v>0.72</v>
      </c>
      <c r="W188" s="76">
        <v>0.96</v>
      </c>
      <c r="X188" s="77">
        <v>247</v>
      </c>
      <c r="Y188" s="78"/>
      <c r="Z188" s="79"/>
      <c r="AA188" s="69"/>
      <c r="AB188" s="68"/>
      <c r="AC188" s="68"/>
      <c r="AD188" s="68"/>
      <c r="AE188" s="80"/>
      <c r="AF188" s="80" t="s">
        <v>528</v>
      </c>
      <c r="AG188" s="80"/>
      <c r="AH188" s="80"/>
      <c r="AI188" s="81" t="s">
        <v>538</v>
      </c>
      <c r="AJ188" s="81" t="s">
        <v>527</v>
      </c>
      <c r="AK188" s="81">
        <v>2012</v>
      </c>
      <c r="AL188" s="81" t="s">
        <v>526</v>
      </c>
      <c r="AM188" s="81"/>
    </row>
    <row r="189" spans="1:39" s="82" customFormat="1" x14ac:dyDescent="0.3">
      <c r="A189" s="67">
        <v>169</v>
      </c>
      <c r="B189" s="68"/>
      <c r="C189" s="68"/>
      <c r="D189" s="68">
        <v>1</v>
      </c>
      <c r="E189" s="68">
        <v>8</v>
      </c>
      <c r="F189" s="68">
        <v>3</v>
      </c>
      <c r="G189" s="69">
        <v>5</v>
      </c>
      <c r="H189" s="68"/>
      <c r="I189" s="69"/>
      <c r="J189" s="69"/>
      <c r="K189" s="70">
        <v>2</v>
      </c>
      <c r="L189" s="68">
        <v>270</v>
      </c>
      <c r="M189" s="71"/>
      <c r="N189" s="72"/>
      <c r="O189" s="84">
        <v>270</v>
      </c>
      <c r="P189" s="73">
        <v>1</v>
      </c>
      <c r="Q189" s="84">
        <v>1</v>
      </c>
      <c r="R189" s="74">
        <v>11</v>
      </c>
      <c r="S189" s="74">
        <v>0.1</v>
      </c>
      <c r="T189" s="75"/>
      <c r="U189" s="75"/>
      <c r="V189" s="76"/>
      <c r="W189" s="76"/>
      <c r="X189" s="77"/>
      <c r="Y189" s="78"/>
      <c r="Z189" s="79"/>
      <c r="AA189" s="69"/>
      <c r="AB189" s="68"/>
      <c r="AC189" s="68"/>
      <c r="AD189" s="68"/>
      <c r="AE189" s="80"/>
      <c r="AF189" s="80" t="s">
        <v>528</v>
      </c>
      <c r="AG189" s="80"/>
      <c r="AH189" s="80"/>
      <c r="AI189" s="81" t="s">
        <v>538</v>
      </c>
      <c r="AJ189" s="81" t="s">
        <v>527</v>
      </c>
      <c r="AK189" s="81">
        <v>2012</v>
      </c>
      <c r="AL189" s="81" t="s">
        <v>526</v>
      </c>
      <c r="AM189" s="81"/>
    </row>
    <row r="190" spans="1:39" s="82" customFormat="1" x14ac:dyDescent="0.3">
      <c r="A190" s="67">
        <v>114</v>
      </c>
      <c r="B190" s="68"/>
      <c r="C190" s="68"/>
      <c r="D190" s="68">
        <v>0</v>
      </c>
      <c r="E190" s="68"/>
      <c r="F190" s="68">
        <v>0</v>
      </c>
      <c r="G190" s="69"/>
      <c r="H190" s="68"/>
      <c r="I190" s="69"/>
      <c r="J190" s="69"/>
      <c r="K190" s="70">
        <v>2</v>
      </c>
      <c r="L190" s="68">
        <v>210</v>
      </c>
      <c r="M190" s="71"/>
      <c r="N190" s="72">
        <v>5</v>
      </c>
      <c r="O190" s="84">
        <v>210</v>
      </c>
      <c r="P190" s="73">
        <v>0.3</v>
      </c>
      <c r="Q190" s="84">
        <v>1</v>
      </c>
      <c r="R190" s="74"/>
      <c r="S190" s="74"/>
      <c r="T190" s="75"/>
      <c r="U190" s="75"/>
      <c r="V190" s="76"/>
      <c r="W190" s="76"/>
      <c r="X190" s="77">
        <v>217</v>
      </c>
      <c r="Y190" s="78"/>
      <c r="Z190" s="79"/>
      <c r="AA190" s="69"/>
      <c r="AB190" s="68"/>
      <c r="AC190" s="68"/>
      <c r="AD190" s="68"/>
      <c r="AE190" s="80"/>
      <c r="AF190" s="80" t="s">
        <v>528</v>
      </c>
      <c r="AG190" s="80"/>
      <c r="AH190" s="80"/>
      <c r="AI190" s="81" t="s">
        <v>529</v>
      </c>
      <c r="AJ190" s="81" t="s">
        <v>527</v>
      </c>
      <c r="AK190" s="81">
        <v>2012</v>
      </c>
      <c r="AL190" s="81" t="s">
        <v>526</v>
      </c>
      <c r="AM190" s="81"/>
    </row>
    <row r="191" spans="1:39" x14ac:dyDescent="0.3">
      <c r="A191" s="67">
        <v>96</v>
      </c>
      <c r="D191" s="2">
        <v>0</v>
      </c>
      <c r="F191" s="2">
        <v>1</v>
      </c>
      <c r="K191" s="4">
        <v>2</v>
      </c>
      <c r="L191" s="2">
        <v>210</v>
      </c>
      <c r="N191" s="6">
        <v>5</v>
      </c>
      <c r="O191" s="17">
        <v>210</v>
      </c>
      <c r="P191" s="7">
        <v>0.47</v>
      </c>
      <c r="Q191" s="84">
        <v>1</v>
      </c>
      <c r="X191" s="11">
        <v>217</v>
      </c>
      <c r="AF191" s="80" t="s">
        <v>528</v>
      </c>
      <c r="AI191" s="15" t="s">
        <v>530</v>
      </c>
      <c r="AJ191" s="15" t="s">
        <v>527</v>
      </c>
      <c r="AK191" s="15">
        <v>2012</v>
      </c>
      <c r="AL191" s="15" t="s">
        <v>526</v>
      </c>
    </row>
    <row r="192" spans="1:39" x14ac:dyDescent="0.3">
      <c r="A192" s="67">
        <v>174</v>
      </c>
      <c r="D192" s="2">
        <v>0</v>
      </c>
      <c r="F192" s="2">
        <v>2</v>
      </c>
      <c r="K192" s="4">
        <v>2</v>
      </c>
      <c r="L192" s="2">
        <v>210</v>
      </c>
      <c r="N192" s="6">
        <v>5</v>
      </c>
      <c r="O192" s="17">
        <v>210</v>
      </c>
      <c r="P192" s="7">
        <v>0.77</v>
      </c>
      <c r="Q192" s="84">
        <v>1</v>
      </c>
      <c r="R192" s="74"/>
      <c r="S192" s="74"/>
      <c r="X192" s="11">
        <v>217</v>
      </c>
      <c r="AF192" s="80" t="s">
        <v>528</v>
      </c>
      <c r="AI192" s="15" t="s">
        <v>531</v>
      </c>
      <c r="AJ192" s="15" t="s">
        <v>527</v>
      </c>
      <c r="AK192" s="15">
        <v>2012</v>
      </c>
      <c r="AL192" s="15" t="s">
        <v>526</v>
      </c>
    </row>
    <row r="193" spans="1:39" x14ac:dyDescent="0.3">
      <c r="A193" s="67">
        <v>289</v>
      </c>
      <c r="D193" s="2">
        <v>0</v>
      </c>
      <c r="F193" s="2">
        <v>3</v>
      </c>
      <c r="K193" s="4">
        <v>2</v>
      </c>
      <c r="L193" s="2">
        <v>210</v>
      </c>
      <c r="N193" s="6">
        <v>5</v>
      </c>
      <c r="O193" s="17">
        <v>210</v>
      </c>
      <c r="P193" s="7">
        <v>0.87</v>
      </c>
      <c r="Q193" s="84">
        <v>1</v>
      </c>
      <c r="R193" s="74"/>
      <c r="S193" s="74"/>
      <c r="X193" s="11">
        <v>217</v>
      </c>
      <c r="AF193" s="80" t="s">
        <v>528</v>
      </c>
      <c r="AI193" s="15" t="s">
        <v>532</v>
      </c>
      <c r="AJ193" s="15" t="s">
        <v>527</v>
      </c>
      <c r="AK193" s="15">
        <v>2012</v>
      </c>
      <c r="AL193" s="15" t="s">
        <v>526</v>
      </c>
    </row>
    <row r="194" spans="1:39" s="82" customFormat="1" x14ac:dyDescent="0.3">
      <c r="A194" s="67">
        <v>186</v>
      </c>
      <c r="B194" s="68"/>
      <c r="C194" s="68"/>
      <c r="D194" s="68">
        <v>0</v>
      </c>
      <c r="E194" s="68"/>
      <c r="F194" s="68">
        <v>4</v>
      </c>
      <c r="G194" s="69"/>
      <c r="H194" s="68"/>
      <c r="I194" s="69"/>
      <c r="J194" s="69"/>
      <c r="K194" s="70">
        <v>2</v>
      </c>
      <c r="L194" s="68">
        <v>210</v>
      </c>
      <c r="M194" s="71"/>
      <c r="N194" s="72">
        <v>5</v>
      </c>
      <c r="O194" s="84">
        <v>210</v>
      </c>
      <c r="P194" s="73">
        <v>0.85</v>
      </c>
      <c r="Q194" s="84">
        <v>1</v>
      </c>
      <c r="R194" s="74"/>
      <c r="S194" s="74"/>
      <c r="T194" s="75"/>
      <c r="U194" s="75"/>
      <c r="V194" s="76"/>
      <c r="W194" s="76"/>
      <c r="X194" s="77">
        <v>217</v>
      </c>
      <c r="Y194" s="78"/>
      <c r="Z194" s="79"/>
      <c r="AA194" s="69"/>
      <c r="AB194" s="68"/>
      <c r="AC194" s="68"/>
      <c r="AD194" s="68"/>
      <c r="AE194" s="80"/>
      <c r="AF194" s="80" t="s">
        <v>528</v>
      </c>
      <c r="AG194" s="80"/>
      <c r="AH194" s="80"/>
      <c r="AI194" s="81" t="s">
        <v>533</v>
      </c>
      <c r="AJ194" s="81" t="s">
        <v>527</v>
      </c>
      <c r="AK194" s="81">
        <v>2012</v>
      </c>
      <c r="AL194" s="81" t="s">
        <v>526</v>
      </c>
      <c r="AM194" s="81"/>
    </row>
    <row r="195" spans="1:39" s="82" customFormat="1" x14ac:dyDescent="0.3">
      <c r="A195" s="67">
        <v>168</v>
      </c>
      <c r="B195" s="68"/>
      <c r="C195" s="68"/>
      <c r="D195" s="68">
        <v>0</v>
      </c>
      <c r="E195" s="68"/>
      <c r="F195" s="68">
        <v>3</v>
      </c>
      <c r="G195" s="69">
        <v>5.8</v>
      </c>
      <c r="H195" s="68"/>
      <c r="I195" s="69"/>
      <c r="J195" s="69"/>
      <c r="K195" s="70">
        <v>3</v>
      </c>
      <c r="L195" s="68">
        <v>210</v>
      </c>
      <c r="M195" s="71">
        <f>32/5</f>
        <v>6.4</v>
      </c>
      <c r="N195" s="72"/>
      <c r="O195" s="84">
        <v>210</v>
      </c>
      <c r="P195" s="73">
        <v>0.54</v>
      </c>
      <c r="Q195" s="84">
        <v>1</v>
      </c>
      <c r="R195" s="74">
        <v>4.8073549220576037</v>
      </c>
      <c r="S195" s="74">
        <v>1.7393875286689329</v>
      </c>
      <c r="T195" s="75">
        <v>8</v>
      </c>
      <c r="U195" s="75">
        <v>1.3225861948844453</v>
      </c>
      <c r="V195" s="76">
        <v>0.68</v>
      </c>
      <c r="W195" s="76">
        <v>0.71</v>
      </c>
      <c r="X195" s="77">
        <v>217</v>
      </c>
      <c r="Y195" s="78"/>
      <c r="Z195" s="79"/>
      <c r="AA195" s="69"/>
      <c r="AB195" s="68"/>
      <c r="AC195" s="68"/>
      <c r="AD195" s="68"/>
      <c r="AE195" s="80"/>
      <c r="AF195" s="80" t="s">
        <v>528</v>
      </c>
      <c r="AG195" s="80" t="s">
        <v>394</v>
      </c>
      <c r="AH195" s="80"/>
      <c r="AI195" s="81" t="s">
        <v>536</v>
      </c>
      <c r="AJ195" s="81" t="s">
        <v>527</v>
      </c>
      <c r="AK195" s="81">
        <v>2012</v>
      </c>
      <c r="AL195" s="81" t="s">
        <v>526</v>
      </c>
      <c r="AM195" s="81"/>
    </row>
    <row r="196" spans="1:39" s="82" customFormat="1" x14ac:dyDescent="0.3">
      <c r="A196" s="67">
        <v>168</v>
      </c>
      <c r="B196" s="68"/>
      <c r="C196" s="68"/>
      <c r="D196" s="68">
        <v>1</v>
      </c>
      <c r="E196" s="68">
        <v>6.4</v>
      </c>
      <c r="F196" s="68">
        <v>3</v>
      </c>
      <c r="G196" s="69">
        <v>5.8</v>
      </c>
      <c r="H196" s="68"/>
      <c r="I196" s="69"/>
      <c r="J196" s="69"/>
      <c r="K196" s="70">
        <v>3</v>
      </c>
      <c r="L196" s="68">
        <v>240</v>
      </c>
      <c r="M196" s="71"/>
      <c r="N196" s="72"/>
      <c r="O196" s="84">
        <v>240</v>
      </c>
      <c r="P196" s="73">
        <v>0.7</v>
      </c>
      <c r="Q196" s="84">
        <v>1</v>
      </c>
      <c r="R196" s="74">
        <v>7.6582114827517946</v>
      </c>
      <c r="S196" s="74">
        <v>1.4329622720251263</v>
      </c>
      <c r="T196" s="75"/>
      <c r="U196" s="75"/>
      <c r="V196" s="76"/>
      <c r="W196" s="76"/>
      <c r="X196" s="77"/>
      <c r="Y196" s="78"/>
      <c r="Z196" s="79"/>
      <c r="AA196" s="69"/>
      <c r="AB196" s="68"/>
      <c r="AC196" s="68"/>
      <c r="AD196" s="68"/>
      <c r="AE196" s="80"/>
      <c r="AF196" s="80" t="s">
        <v>528</v>
      </c>
      <c r="AG196" s="80" t="s">
        <v>394</v>
      </c>
      <c r="AH196" s="80"/>
      <c r="AI196" s="81" t="s">
        <v>536</v>
      </c>
      <c r="AJ196" s="81" t="s">
        <v>527</v>
      </c>
      <c r="AK196" s="81">
        <v>2012</v>
      </c>
      <c r="AL196" s="81" t="s">
        <v>526</v>
      </c>
      <c r="AM196" s="81"/>
    </row>
    <row r="197" spans="1:39" x14ac:dyDescent="0.3">
      <c r="A197" s="67">
        <v>183</v>
      </c>
      <c r="D197" s="2">
        <v>0</v>
      </c>
      <c r="F197" s="2">
        <v>3</v>
      </c>
      <c r="G197" s="3">
        <v>5.8</v>
      </c>
      <c r="K197" s="4">
        <v>3</v>
      </c>
      <c r="L197" s="2">
        <v>210</v>
      </c>
      <c r="M197" s="5">
        <v>32</v>
      </c>
      <c r="O197" s="17">
        <v>210</v>
      </c>
      <c r="P197" s="7">
        <v>0.47</v>
      </c>
      <c r="Q197" s="84">
        <v>1</v>
      </c>
      <c r="R197" s="74">
        <v>2</v>
      </c>
      <c r="S197" s="74">
        <v>0.30642014472384033</v>
      </c>
      <c r="T197" s="9">
        <v>9.1699250014423122</v>
      </c>
      <c r="U197" s="9">
        <v>0.26810926944601288</v>
      </c>
      <c r="V197" s="10">
        <v>0.9</v>
      </c>
      <c r="W197" s="10">
        <v>0.97</v>
      </c>
      <c r="X197" s="11">
        <v>217</v>
      </c>
      <c r="AF197" s="80" t="s">
        <v>528</v>
      </c>
      <c r="AI197" s="15" t="s">
        <v>537</v>
      </c>
      <c r="AJ197" s="15" t="s">
        <v>527</v>
      </c>
      <c r="AK197" s="15">
        <v>2012</v>
      </c>
      <c r="AL197" s="15" t="s">
        <v>526</v>
      </c>
    </row>
    <row r="198" spans="1:39" x14ac:dyDescent="0.3">
      <c r="A198" s="67">
        <v>183</v>
      </c>
      <c r="D198" s="2">
        <v>1</v>
      </c>
      <c r="E198" s="2">
        <v>32</v>
      </c>
      <c r="F198" s="2">
        <v>3</v>
      </c>
      <c r="G198" s="3">
        <v>5.8</v>
      </c>
      <c r="K198" s="4">
        <v>3</v>
      </c>
      <c r="L198" s="2">
        <v>240</v>
      </c>
      <c r="O198" s="17">
        <v>240</v>
      </c>
      <c r="P198" s="7">
        <v>0.95</v>
      </c>
      <c r="Q198" s="84">
        <v>1</v>
      </c>
      <c r="R198" s="74">
        <v>8.8297227350860599</v>
      </c>
      <c r="S198" s="74">
        <v>0.35325945744349424</v>
      </c>
      <c r="AF198" s="80" t="s">
        <v>528</v>
      </c>
      <c r="AI198" s="15" t="s">
        <v>537</v>
      </c>
      <c r="AJ198" s="15" t="s">
        <v>527</v>
      </c>
      <c r="AK198" s="15">
        <v>2012</v>
      </c>
      <c r="AL198" s="15" t="s">
        <v>526</v>
      </c>
    </row>
    <row r="199" spans="1:39" x14ac:dyDescent="0.3">
      <c r="A199" s="67">
        <v>174</v>
      </c>
      <c r="D199" s="2">
        <v>0</v>
      </c>
      <c r="F199" s="2">
        <v>3</v>
      </c>
      <c r="G199" s="3">
        <v>5.8</v>
      </c>
      <c r="K199" s="4">
        <v>3</v>
      </c>
      <c r="L199" s="2">
        <v>210</v>
      </c>
      <c r="O199" s="17">
        <v>210</v>
      </c>
      <c r="P199" s="7">
        <v>0.38</v>
      </c>
      <c r="Q199" s="84">
        <v>1</v>
      </c>
      <c r="R199" s="8">
        <v>2</v>
      </c>
      <c r="S199" s="8">
        <v>0.26030820491461892</v>
      </c>
      <c r="T199" s="9">
        <v>2</v>
      </c>
      <c r="U199" s="9">
        <v>0.26030820491461892</v>
      </c>
      <c r="V199" s="10">
        <v>0.1</v>
      </c>
      <c r="W199" s="10">
        <v>0.39</v>
      </c>
      <c r="X199" s="11">
        <v>217</v>
      </c>
      <c r="AF199" s="80" t="s">
        <v>528</v>
      </c>
      <c r="AI199" s="15" t="s">
        <v>535</v>
      </c>
      <c r="AJ199" s="15" t="s">
        <v>527</v>
      </c>
      <c r="AK199" s="15">
        <v>2012</v>
      </c>
      <c r="AL199" s="15" t="s">
        <v>526</v>
      </c>
    </row>
    <row r="200" spans="1:39" s="82" customFormat="1" x14ac:dyDescent="0.3">
      <c r="A200" s="67">
        <v>174</v>
      </c>
      <c r="B200" s="68"/>
      <c r="C200" s="68"/>
      <c r="D200" s="68">
        <v>0</v>
      </c>
      <c r="E200" s="68"/>
      <c r="F200" s="68">
        <v>3</v>
      </c>
      <c r="G200" s="69">
        <v>5.8</v>
      </c>
      <c r="H200" s="68"/>
      <c r="I200" s="69"/>
      <c r="J200" s="69"/>
      <c r="K200" s="70">
        <v>3</v>
      </c>
      <c r="L200" s="68">
        <v>240</v>
      </c>
      <c r="M200" s="71"/>
      <c r="N200" s="72"/>
      <c r="O200" s="84">
        <v>240</v>
      </c>
      <c r="P200" s="73">
        <v>0.39</v>
      </c>
      <c r="Q200" s="84">
        <v>1</v>
      </c>
      <c r="R200" s="74">
        <v>2</v>
      </c>
      <c r="S200" s="74">
        <v>0.26030820491461892</v>
      </c>
      <c r="T200" s="75"/>
      <c r="U200" s="75"/>
      <c r="V200" s="76"/>
      <c r="W200" s="76"/>
      <c r="X200" s="77"/>
      <c r="Y200" s="78"/>
      <c r="Z200" s="79"/>
      <c r="AA200" s="69"/>
      <c r="AB200" s="68"/>
      <c r="AC200" s="68"/>
      <c r="AD200" s="68"/>
      <c r="AE200" s="80"/>
      <c r="AF200" s="80" t="s">
        <v>528</v>
      </c>
      <c r="AG200" s="80"/>
      <c r="AH200" s="80"/>
      <c r="AI200" s="81" t="s">
        <v>535</v>
      </c>
      <c r="AJ200" s="81" t="s">
        <v>527</v>
      </c>
      <c r="AK200" s="81">
        <v>2012</v>
      </c>
      <c r="AL200" s="81" t="s">
        <v>526</v>
      </c>
      <c r="AM200" s="81"/>
    </row>
    <row r="201" spans="1:39" s="82" customFormat="1" x14ac:dyDescent="0.3">
      <c r="A201" s="67">
        <v>175</v>
      </c>
      <c r="B201" s="68"/>
      <c r="C201" s="68"/>
      <c r="D201" s="68">
        <v>0</v>
      </c>
      <c r="E201" s="68"/>
      <c r="F201" s="68">
        <v>3</v>
      </c>
      <c r="G201" s="69">
        <v>5.8</v>
      </c>
      <c r="H201" s="68"/>
      <c r="I201" s="69"/>
      <c r="J201" s="69"/>
      <c r="K201" s="70">
        <v>3</v>
      </c>
      <c r="L201" s="68">
        <v>210</v>
      </c>
      <c r="M201" s="71"/>
      <c r="N201" s="72"/>
      <c r="O201" s="84">
        <v>210</v>
      </c>
      <c r="P201" s="73">
        <v>0.5</v>
      </c>
      <c r="Q201" s="84">
        <v>1</v>
      </c>
      <c r="R201" s="74">
        <v>2</v>
      </c>
      <c r="S201" s="74">
        <v>2.2140908682152469</v>
      </c>
      <c r="T201" s="75">
        <v>3.4594316186372978</v>
      </c>
      <c r="U201" s="75">
        <v>2.5091961096887165</v>
      </c>
      <c r="V201" s="76">
        <v>0.1</v>
      </c>
      <c r="W201" s="76">
        <v>0.5</v>
      </c>
      <c r="X201" s="77">
        <v>217</v>
      </c>
      <c r="Y201" s="78"/>
      <c r="Z201" s="79"/>
      <c r="AA201" s="69"/>
      <c r="AB201" s="68"/>
      <c r="AC201" s="68"/>
      <c r="AD201" s="68"/>
      <c r="AE201" s="80"/>
      <c r="AF201" s="80" t="s">
        <v>528</v>
      </c>
      <c r="AG201" s="80"/>
      <c r="AH201" s="80"/>
      <c r="AI201" s="81" t="s">
        <v>534</v>
      </c>
      <c r="AJ201" s="81" t="s">
        <v>527</v>
      </c>
      <c r="AK201" s="81">
        <v>2012</v>
      </c>
      <c r="AL201" s="81" t="s">
        <v>526</v>
      </c>
      <c r="AM201" s="81"/>
    </row>
    <row r="202" spans="1:39" s="82" customFormat="1" x14ac:dyDescent="0.3">
      <c r="A202" s="67">
        <v>175</v>
      </c>
      <c r="B202" s="68"/>
      <c r="C202" s="68"/>
      <c r="D202" s="68">
        <v>0</v>
      </c>
      <c r="E202" s="68"/>
      <c r="F202" s="68">
        <v>3</v>
      </c>
      <c r="G202" s="69">
        <v>5.8</v>
      </c>
      <c r="H202" s="68"/>
      <c r="I202" s="69"/>
      <c r="J202" s="69"/>
      <c r="K202" s="70">
        <v>3</v>
      </c>
      <c r="L202" s="68">
        <v>240</v>
      </c>
      <c r="M202" s="71"/>
      <c r="N202" s="72"/>
      <c r="O202" s="84">
        <v>240</v>
      </c>
      <c r="P202" s="73">
        <v>0.51</v>
      </c>
      <c r="Q202" s="84">
        <v>1</v>
      </c>
      <c r="R202" s="74">
        <v>3.4594316186372978</v>
      </c>
      <c r="S202" s="74">
        <v>2.7561036468528006</v>
      </c>
      <c r="T202" s="75"/>
      <c r="U202" s="75"/>
      <c r="V202" s="76"/>
      <c r="W202" s="76"/>
      <c r="X202" s="77"/>
      <c r="Y202" s="78"/>
      <c r="Z202" s="79"/>
      <c r="AA202" s="69"/>
      <c r="AB202" s="68"/>
      <c r="AC202" s="68"/>
      <c r="AD202" s="68"/>
      <c r="AE202" s="80"/>
      <c r="AF202" s="80" t="s">
        <v>528</v>
      </c>
      <c r="AG202" s="80"/>
      <c r="AH202" s="80"/>
      <c r="AI202" s="81" t="s">
        <v>534</v>
      </c>
      <c r="AJ202" s="81" t="s">
        <v>527</v>
      </c>
      <c r="AK202" s="81">
        <v>2012</v>
      </c>
      <c r="AL202" s="81" t="s">
        <v>526</v>
      </c>
      <c r="AM202" s="81"/>
    </row>
    <row r="203" spans="1:39" x14ac:dyDescent="0.3">
      <c r="A203" s="67">
        <v>169</v>
      </c>
      <c r="D203" s="2">
        <v>0</v>
      </c>
      <c r="F203" s="2">
        <v>3</v>
      </c>
      <c r="G203" s="3">
        <v>5.8</v>
      </c>
      <c r="K203" s="4">
        <v>3</v>
      </c>
      <c r="L203" s="2">
        <v>240</v>
      </c>
      <c r="M203" s="5">
        <v>32</v>
      </c>
      <c r="O203" s="84">
        <v>240</v>
      </c>
      <c r="P203" s="7">
        <v>0.5</v>
      </c>
      <c r="Q203" s="84">
        <v>1</v>
      </c>
      <c r="R203" s="8">
        <v>2</v>
      </c>
      <c r="S203" s="8">
        <v>2.2140908682152469</v>
      </c>
      <c r="T203" s="9">
        <v>9.4998458870832057</v>
      </c>
      <c r="U203" s="9">
        <v>0.26810926944601288</v>
      </c>
      <c r="V203" s="10">
        <v>0.85</v>
      </c>
      <c r="W203" s="10">
        <v>0.98</v>
      </c>
      <c r="X203" s="11">
        <v>247</v>
      </c>
      <c r="AF203" s="80" t="s">
        <v>528</v>
      </c>
      <c r="AI203" s="15" t="s">
        <v>538</v>
      </c>
      <c r="AJ203" s="15" t="s">
        <v>527</v>
      </c>
      <c r="AK203" s="15">
        <v>2012</v>
      </c>
      <c r="AL203" s="15" t="s">
        <v>526</v>
      </c>
    </row>
    <row r="204" spans="1:39" x14ac:dyDescent="0.3">
      <c r="A204" s="67">
        <v>169</v>
      </c>
      <c r="D204" s="2">
        <v>1</v>
      </c>
      <c r="E204" s="2">
        <v>32</v>
      </c>
      <c r="F204" s="2">
        <v>3</v>
      </c>
      <c r="G204" s="3">
        <v>5.8</v>
      </c>
      <c r="K204" s="4">
        <v>3</v>
      </c>
      <c r="L204" s="2">
        <v>270</v>
      </c>
      <c r="O204" s="84">
        <v>270</v>
      </c>
      <c r="P204" s="7">
        <v>0.94</v>
      </c>
      <c r="Q204" s="84">
        <v>1</v>
      </c>
      <c r="R204" s="8">
        <v>8.4998458870832057</v>
      </c>
      <c r="S204" s="8">
        <v>0.11510110123801649</v>
      </c>
      <c r="AF204" s="80" t="s">
        <v>528</v>
      </c>
      <c r="AI204" s="15" t="s">
        <v>538</v>
      </c>
      <c r="AJ204" s="15" t="s">
        <v>527</v>
      </c>
      <c r="AK204" s="15">
        <v>2012</v>
      </c>
      <c r="AL204" s="15" t="s">
        <v>526</v>
      </c>
    </row>
    <row r="205" spans="1:39" x14ac:dyDescent="0.3">
      <c r="A205" s="67">
        <v>114</v>
      </c>
      <c r="D205" s="2">
        <v>0</v>
      </c>
      <c r="F205" s="2">
        <v>0</v>
      </c>
      <c r="K205" s="4">
        <v>3</v>
      </c>
      <c r="L205" s="2">
        <v>210</v>
      </c>
      <c r="N205" s="6">
        <v>5.8</v>
      </c>
      <c r="O205" s="84">
        <v>210</v>
      </c>
      <c r="P205" s="7">
        <v>0.21</v>
      </c>
      <c r="Q205" s="84">
        <v>1</v>
      </c>
      <c r="X205" s="11">
        <v>217</v>
      </c>
      <c r="AF205" s="80" t="s">
        <v>528</v>
      </c>
      <c r="AI205" s="15" t="s">
        <v>529</v>
      </c>
      <c r="AJ205" s="15" t="s">
        <v>527</v>
      </c>
      <c r="AK205" s="15">
        <v>2012</v>
      </c>
      <c r="AL205" s="15" t="s">
        <v>526</v>
      </c>
    </row>
    <row r="206" spans="1:39" s="82" customFormat="1" x14ac:dyDescent="0.3">
      <c r="A206" s="67">
        <v>96</v>
      </c>
      <c r="B206" s="68"/>
      <c r="C206" s="68"/>
      <c r="D206" s="68">
        <v>0</v>
      </c>
      <c r="E206" s="68"/>
      <c r="F206" s="68">
        <v>1</v>
      </c>
      <c r="G206" s="69"/>
      <c r="H206" s="68"/>
      <c r="I206" s="69"/>
      <c r="J206" s="69"/>
      <c r="K206" s="70">
        <v>3</v>
      </c>
      <c r="L206" s="68">
        <v>210</v>
      </c>
      <c r="M206" s="71"/>
      <c r="N206" s="72">
        <v>5.8</v>
      </c>
      <c r="O206" s="84">
        <v>210</v>
      </c>
      <c r="P206" s="73">
        <v>0.25</v>
      </c>
      <c r="Q206" s="84">
        <v>1</v>
      </c>
      <c r="R206" s="74"/>
      <c r="S206" s="74"/>
      <c r="T206" s="75"/>
      <c r="U206" s="75"/>
      <c r="V206" s="76"/>
      <c r="W206" s="76"/>
      <c r="X206" s="77">
        <v>217</v>
      </c>
      <c r="Y206" s="78"/>
      <c r="Z206" s="79"/>
      <c r="AA206" s="69"/>
      <c r="AB206" s="68"/>
      <c r="AC206" s="68"/>
      <c r="AD206" s="68"/>
      <c r="AE206" s="80"/>
      <c r="AF206" s="80" t="s">
        <v>528</v>
      </c>
      <c r="AG206" s="80"/>
      <c r="AH206" s="80"/>
      <c r="AI206" s="81" t="s">
        <v>530</v>
      </c>
      <c r="AJ206" s="81" t="s">
        <v>527</v>
      </c>
      <c r="AK206" s="81">
        <v>2012</v>
      </c>
      <c r="AL206" s="81" t="s">
        <v>526</v>
      </c>
      <c r="AM206" s="81"/>
    </row>
    <row r="207" spans="1:39" s="82" customFormat="1" x14ac:dyDescent="0.3">
      <c r="A207" s="67">
        <v>174</v>
      </c>
      <c r="B207" s="68"/>
      <c r="C207" s="68"/>
      <c r="D207" s="68">
        <v>0</v>
      </c>
      <c r="E207" s="68"/>
      <c r="F207" s="68">
        <v>2</v>
      </c>
      <c r="G207" s="69"/>
      <c r="H207" s="68"/>
      <c r="I207" s="69"/>
      <c r="J207" s="69"/>
      <c r="K207" s="70">
        <v>3</v>
      </c>
      <c r="L207" s="68">
        <v>210</v>
      </c>
      <c r="M207" s="71"/>
      <c r="N207" s="72">
        <v>5.8</v>
      </c>
      <c r="O207" s="84">
        <v>210</v>
      </c>
      <c r="P207" s="73">
        <v>0.42</v>
      </c>
      <c r="Q207" s="84">
        <v>1</v>
      </c>
      <c r="R207" s="74"/>
      <c r="S207" s="74"/>
      <c r="T207" s="75"/>
      <c r="U207" s="75"/>
      <c r="V207" s="76"/>
      <c r="W207" s="76"/>
      <c r="X207" s="77">
        <v>217</v>
      </c>
      <c r="Y207" s="78"/>
      <c r="Z207" s="79"/>
      <c r="AA207" s="69"/>
      <c r="AB207" s="68"/>
      <c r="AC207" s="68"/>
      <c r="AD207" s="68"/>
      <c r="AE207" s="80"/>
      <c r="AF207" s="80" t="s">
        <v>528</v>
      </c>
      <c r="AG207" s="80"/>
      <c r="AH207" s="80"/>
      <c r="AI207" s="81" t="s">
        <v>531</v>
      </c>
      <c r="AJ207" s="81" t="s">
        <v>527</v>
      </c>
      <c r="AK207" s="81">
        <v>2012</v>
      </c>
      <c r="AL207" s="81" t="s">
        <v>526</v>
      </c>
      <c r="AM207" s="81"/>
    </row>
    <row r="208" spans="1:39" s="82" customFormat="1" x14ac:dyDescent="0.3">
      <c r="A208" s="67">
        <v>289</v>
      </c>
      <c r="B208" s="68"/>
      <c r="C208" s="68"/>
      <c r="D208" s="68">
        <v>0</v>
      </c>
      <c r="E208" s="68"/>
      <c r="F208" s="68">
        <v>3</v>
      </c>
      <c r="G208" s="69"/>
      <c r="H208" s="68"/>
      <c r="I208" s="69"/>
      <c r="J208" s="69"/>
      <c r="K208" s="70">
        <v>3</v>
      </c>
      <c r="L208" s="68">
        <v>210</v>
      </c>
      <c r="M208" s="71"/>
      <c r="N208" s="72">
        <v>5.8</v>
      </c>
      <c r="O208" s="84">
        <v>210</v>
      </c>
      <c r="P208" s="73">
        <v>0.62</v>
      </c>
      <c r="Q208" s="84">
        <v>1</v>
      </c>
      <c r="R208" s="74"/>
      <c r="S208" s="74"/>
      <c r="T208" s="75"/>
      <c r="U208" s="75"/>
      <c r="V208" s="76"/>
      <c r="W208" s="76"/>
      <c r="X208" s="77">
        <v>217</v>
      </c>
      <c r="Y208" s="78"/>
      <c r="Z208" s="79"/>
      <c r="AA208" s="69"/>
      <c r="AB208" s="68"/>
      <c r="AC208" s="68"/>
      <c r="AD208" s="68"/>
      <c r="AE208" s="80"/>
      <c r="AF208" s="80" t="s">
        <v>528</v>
      </c>
      <c r="AG208" s="80"/>
      <c r="AH208" s="80"/>
      <c r="AI208" s="81" t="s">
        <v>532</v>
      </c>
      <c r="AJ208" s="81" t="s">
        <v>527</v>
      </c>
      <c r="AK208" s="81">
        <v>2012</v>
      </c>
      <c r="AL208" s="81" t="s">
        <v>526</v>
      </c>
      <c r="AM208" s="81"/>
    </row>
    <row r="209" spans="1:39" x14ac:dyDescent="0.3">
      <c r="A209" s="67">
        <v>186</v>
      </c>
      <c r="D209" s="2">
        <v>0</v>
      </c>
      <c r="F209" s="2">
        <v>4</v>
      </c>
      <c r="K209" s="4">
        <v>3</v>
      </c>
      <c r="L209" s="2">
        <v>210</v>
      </c>
      <c r="N209" s="6">
        <v>5.8</v>
      </c>
      <c r="O209" s="17">
        <v>210</v>
      </c>
      <c r="P209" s="7">
        <v>0.61</v>
      </c>
      <c r="Q209" s="84">
        <v>1</v>
      </c>
      <c r="X209" s="11">
        <v>217</v>
      </c>
      <c r="AF209" s="80" t="s">
        <v>528</v>
      </c>
      <c r="AI209" s="15" t="s">
        <v>533</v>
      </c>
      <c r="AJ209" s="15" t="s">
        <v>527</v>
      </c>
      <c r="AK209" s="15">
        <v>2012</v>
      </c>
      <c r="AL209" s="15" t="s">
        <v>526</v>
      </c>
    </row>
    <row r="210" spans="1:39" x14ac:dyDescent="0.3">
      <c r="A210" s="67">
        <v>23</v>
      </c>
      <c r="D210" s="2">
        <v>0</v>
      </c>
      <c r="F210" s="2">
        <v>0</v>
      </c>
      <c r="H210" s="2">
        <v>60</v>
      </c>
      <c r="I210" s="3">
        <v>4.4000000000000004</v>
      </c>
      <c r="K210" s="4">
        <v>1</v>
      </c>
      <c r="L210" s="2">
        <v>60</v>
      </c>
      <c r="N210" s="6">
        <v>6</v>
      </c>
      <c r="O210" s="17">
        <v>60</v>
      </c>
      <c r="P210" s="7">
        <v>0.73899999999999999</v>
      </c>
      <c r="Q210" s="84">
        <v>0</v>
      </c>
      <c r="R210" s="8">
        <v>4.4000000000000004</v>
      </c>
      <c r="T210" s="9">
        <v>5.2</v>
      </c>
      <c r="W210" s="10">
        <v>0.77300000000000002</v>
      </c>
      <c r="X210" s="11">
        <v>120</v>
      </c>
      <c r="AI210" s="15" t="s">
        <v>109</v>
      </c>
      <c r="AJ210" s="15" t="s">
        <v>113</v>
      </c>
      <c r="AK210" s="15">
        <v>1990</v>
      </c>
      <c r="AL210" s="15" t="s">
        <v>57</v>
      </c>
    </row>
    <row r="211" spans="1:39" x14ac:dyDescent="0.3">
      <c r="A211" s="67">
        <v>23</v>
      </c>
      <c r="D211" s="2">
        <v>0</v>
      </c>
      <c r="F211" s="2">
        <v>1</v>
      </c>
      <c r="G211" s="3">
        <v>6</v>
      </c>
      <c r="H211" s="2">
        <v>60</v>
      </c>
      <c r="I211" s="3">
        <v>4.4000000000000004</v>
      </c>
      <c r="K211" s="4">
        <v>1</v>
      </c>
      <c r="L211" s="2">
        <v>120</v>
      </c>
      <c r="N211" s="6">
        <v>6</v>
      </c>
      <c r="O211" s="17">
        <v>120</v>
      </c>
      <c r="P211" s="7">
        <v>0.77300000000000002</v>
      </c>
      <c r="Q211" s="84">
        <v>0</v>
      </c>
      <c r="R211" s="8">
        <v>5.2</v>
      </c>
      <c r="T211" s="9">
        <v>8.1</v>
      </c>
      <c r="W211" s="10">
        <v>1</v>
      </c>
      <c r="X211" s="11">
        <v>150</v>
      </c>
      <c r="AI211" s="15" t="s">
        <v>109</v>
      </c>
      <c r="AJ211" s="15" t="s">
        <v>113</v>
      </c>
      <c r="AK211" s="15">
        <v>1990</v>
      </c>
      <c r="AL211" s="15" t="s">
        <v>57</v>
      </c>
    </row>
    <row r="212" spans="1:39" s="82" customFormat="1" x14ac:dyDescent="0.3">
      <c r="A212" s="67">
        <v>23</v>
      </c>
      <c r="B212" s="68"/>
      <c r="C212" s="68"/>
      <c r="D212" s="68">
        <v>0</v>
      </c>
      <c r="E212" s="68"/>
      <c r="F212" s="68">
        <v>2</v>
      </c>
      <c r="G212" s="69">
        <v>6</v>
      </c>
      <c r="H212" s="68">
        <v>60</v>
      </c>
      <c r="I212" s="69">
        <v>4.4000000000000004</v>
      </c>
      <c r="J212" s="69"/>
      <c r="K212" s="70">
        <v>1</v>
      </c>
      <c r="L212" s="68">
        <v>360</v>
      </c>
      <c r="M212" s="71"/>
      <c r="N212" s="72">
        <v>6</v>
      </c>
      <c r="O212" s="84">
        <v>360</v>
      </c>
      <c r="P212" s="73">
        <v>0.77300000000000002</v>
      </c>
      <c r="Q212" s="84">
        <v>0</v>
      </c>
      <c r="R212" s="74">
        <v>6.1</v>
      </c>
      <c r="S212" s="74"/>
      <c r="T212" s="75">
        <v>10.5</v>
      </c>
      <c r="U212" s="75"/>
      <c r="V212" s="76"/>
      <c r="W212" s="76">
        <v>1</v>
      </c>
      <c r="X212" s="77">
        <v>390</v>
      </c>
      <c r="Y212" s="78"/>
      <c r="Z212" s="79"/>
      <c r="AA212" s="69"/>
      <c r="AB212" s="68"/>
      <c r="AC212" s="68"/>
      <c r="AD212" s="68"/>
      <c r="AE212" s="80"/>
      <c r="AF212" s="80"/>
      <c r="AG212" s="80"/>
      <c r="AH212" s="80"/>
      <c r="AI212" s="81" t="s">
        <v>109</v>
      </c>
      <c r="AJ212" s="81" t="s">
        <v>113</v>
      </c>
      <c r="AK212" s="81">
        <v>1990</v>
      </c>
      <c r="AL212" s="81" t="s">
        <v>57</v>
      </c>
      <c r="AM212" s="81"/>
    </row>
    <row r="213" spans="1:39" s="82" customFormat="1" x14ac:dyDescent="0.3">
      <c r="A213" s="67">
        <v>10</v>
      </c>
      <c r="B213" s="68"/>
      <c r="C213" s="68"/>
      <c r="D213" s="68">
        <v>0</v>
      </c>
      <c r="E213" s="68"/>
      <c r="F213" s="68">
        <v>3</v>
      </c>
      <c r="G213" s="69">
        <v>6</v>
      </c>
      <c r="H213" s="68">
        <v>60</v>
      </c>
      <c r="I213" s="69">
        <v>4.4000000000000004</v>
      </c>
      <c r="J213" s="69"/>
      <c r="K213" s="70">
        <v>1</v>
      </c>
      <c r="L213" s="68">
        <f>3*365</f>
        <v>1095</v>
      </c>
      <c r="M213" s="71"/>
      <c r="N213" s="72"/>
      <c r="O213" s="84">
        <v>1095</v>
      </c>
      <c r="P213" s="73"/>
      <c r="Q213" s="84">
        <v>0</v>
      </c>
      <c r="R213" s="74">
        <f>3.32*2.3</f>
        <v>7.6359999999999992</v>
      </c>
      <c r="S213" s="74">
        <f>(3.32*0.5)^2</f>
        <v>2.7555999999999998</v>
      </c>
      <c r="T213" s="75"/>
      <c r="U213" s="75"/>
      <c r="V213" s="76"/>
      <c r="W213" s="76"/>
      <c r="X213" s="77"/>
      <c r="Y213" s="78"/>
      <c r="Z213" s="79"/>
      <c r="AA213" s="69"/>
      <c r="AB213" s="68"/>
      <c r="AC213" s="68"/>
      <c r="AD213" s="68"/>
      <c r="AE213" s="80"/>
      <c r="AF213" s="80"/>
      <c r="AG213" s="80"/>
      <c r="AH213" s="80"/>
      <c r="AI213" s="81" t="s">
        <v>109</v>
      </c>
      <c r="AJ213" s="81" t="s">
        <v>113</v>
      </c>
      <c r="AK213" s="81">
        <v>1990</v>
      </c>
      <c r="AL213" s="81" t="s">
        <v>57</v>
      </c>
      <c r="AM213" s="81" t="s">
        <v>548</v>
      </c>
    </row>
    <row r="214" spans="1:39" s="82" customFormat="1" x14ac:dyDescent="0.3">
      <c r="A214" s="67">
        <v>10</v>
      </c>
      <c r="B214" s="68"/>
      <c r="C214" s="68"/>
      <c r="D214" s="68">
        <v>0</v>
      </c>
      <c r="E214" s="68"/>
      <c r="F214" s="68">
        <v>3</v>
      </c>
      <c r="G214" s="69">
        <v>6</v>
      </c>
      <c r="H214" s="68">
        <v>60</v>
      </c>
      <c r="I214" s="69">
        <v>4.4000000000000004</v>
      </c>
      <c r="J214" s="69"/>
      <c r="K214" s="70">
        <v>1</v>
      </c>
      <c r="L214" s="68">
        <v>1460</v>
      </c>
      <c r="M214" s="71"/>
      <c r="N214" s="72"/>
      <c r="O214" s="84">
        <v>1460</v>
      </c>
      <c r="P214" s="73"/>
      <c r="Q214" s="84">
        <v>0</v>
      </c>
      <c r="R214" s="74">
        <f>3.32*2.5</f>
        <v>8.2999999999999989</v>
      </c>
      <c r="S214" s="74">
        <f>(3.32*0.6)^2</f>
        <v>3.9680639999999991</v>
      </c>
      <c r="T214" s="75"/>
      <c r="U214" s="75"/>
      <c r="V214" s="76"/>
      <c r="W214" s="76"/>
      <c r="X214" s="77"/>
      <c r="Y214" s="78"/>
      <c r="Z214" s="79"/>
      <c r="AA214" s="69"/>
      <c r="AB214" s="68"/>
      <c r="AC214" s="68"/>
      <c r="AD214" s="68"/>
      <c r="AE214" s="80"/>
      <c r="AF214" s="80"/>
      <c r="AG214" s="80"/>
      <c r="AH214" s="80"/>
      <c r="AI214" s="81" t="s">
        <v>109</v>
      </c>
      <c r="AJ214" s="81" t="s">
        <v>113</v>
      </c>
      <c r="AK214" s="81">
        <v>1990</v>
      </c>
      <c r="AL214" s="81" t="s">
        <v>57</v>
      </c>
      <c r="AM214" s="81" t="s">
        <v>548</v>
      </c>
    </row>
    <row r="215" spans="1:39" x14ac:dyDescent="0.3">
      <c r="A215" s="67">
        <v>10</v>
      </c>
      <c r="D215" s="2">
        <v>0</v>
      </c>
      <c r="F215" s="2">
        <v>3</v>
      </c>
      <c r="G215" s="3">
        <v>6</v>
      </c>
      <c r="H215" s="2">
        <v>60</v>
      </c>
      <c r="I215" s="3">
        <v>4.4000000000000004</v>
      </c>
      <c r="K215" s="4">
        <v>1</v>
      </c>
      <c r="L215" s="2">
        <v>1825</v>
      </c>
      <c r="N215" s="6">
        <v>6</v>
      </c>
      <c r="O215" s="17">
        <v>1825</v>
      </c>
      <c r="P215" s="7">
        <v>1</v>
      </c>
      <c r="Q215" s="84">
        <v>0</v>
      </c>
      <c r="R215" s="8">
        <f>3.32*2.1</f>
        <v>6.9719999999999995</v>
      </c>
      <c r="S215" s="8">
        <f>(3.32*0.5)^2</f>
        <v>2.7555999999999998</v>
      </c>
      <c r="T215" s="9">
        <f>3.32*2.7</f>
        <v>8.9640000000000004</v>
      </c>
      <c r="U215" s="9">
        <f>(3.32*0.6)^2</f>
        <v>3.9680639999999991</v>
      </c>
      <c r="X215" s="11">
        <v>1855</v>
      </c>
      <c r="AI215" s="15" t="s">
        <v>109</v>
      </c>
      <c r="AJ215" s="15" t="s">
        <v>113</v>
      </c>
      <c r="AK215" s="15">
        <v>1990</v>
      </c>
      <c r="AL215" s="15" t="s">
        <v>57</v>
      </c>
      <c r="AM215" s="15" t="s">
        <v>548</v>
      </c>
    </row>
    <row r="216" spans="1:39" x14ac:dyDescent="0.3">
      <c r="A216" s="67">
        <v>65</v>
      </c>
      <c r="D216" s="2">
        <v>0</v>
      </c>
      <c r="F216" s="2">
        <v>0</v>
      </c>
      <c r="H216" s="2">
        <v>60</v>
      </c>
      <c r="I216" s="3">
        <v>4.4000000000000004</v>
      </c>
      <c r="K216" s="4">
        <v>1</v>
      </c>
      <c r="L216" s="2">
        <v>60</v>
      </c>
      <c r="M216" s="5">
        <v>40</v>
      </c>
      <c r="O216" s="17">
        <v>60</v>
      </c>
      <c r="P216" s="7">
        <v>0.8</v>
      </c>
      <c r="Q216" s="84">
        <v>0</v>
      </c>
      <c r="R216" s="8">
        <v>4.4000000000000004</v>
      </c>
      <c r="T216" s="9">
        <v>2.9</v>
      </c>
      <c r="W216" s="10">
        <v>0.60699999999999998</v>
      </c>
      <c r="X216" s="11">
        <v>120</v>
      </c>
      <c r="AI216" s="15" t="s">
        <v>110</v>
      </c>
      <c r="AJ216" s="15" t="s">
        <v>113</v>
      </c>
      <c r="AK216" s="15">
        <v>1990</v>
      </c>
      <c r="AL216" s="15" t="s">
        <v>57</v>
      </c>
    </row>
    <row r="217" spans="1:39" x14ac:dyDescent="0.3">
      <c r="A217" s="67">
        <v>65</v>
      </c>
      <c r="D217" s="2">
        <v>1</v>
      </c>
      <c r="E217" s="2">
        <v>40</v>
      </c>
      <c r="F217" s="2">
        <v>0</v>
      </c>
      <c r="H217" s="2">
        <v>60</v>
      </c>
      <c r="I217" s="3">
        <v>4.4000000000000004</v>
      </c>
      <c r="K217" s="4">
        <v>1</v>
      </c>
      <c r="L217" s="2">
        <v>120</v>
      </c>
      <c r="M217" s="5">
        <v>40</v>
      </c>
      <c r="O217" s="17">
        <v>120</v>
      </c>
      <c r="P217" s="7">
        <v>0.60699999999999998</v>
      </c>
      <c r="Q217" s="84">
        <v>0</v>
      </c>
      <c r="R217" s="8">
        <v>2.9</v>
      </c>
      <c r="T217" s="9">
        <v>7.5</v>
      </c>
      <c r="W217" s="10">
        <v>0.96399999999999997</v>
      </c>
      <c r="X217" s="11">
        <v>150</v>
      </c>
      <c r="AI217" s="15" t="s">
        <v>110</v>
      </c>
      <c r="AJ217" s="15" t="s">
        <v>113</v>
      </c>
      <c r="AK217" s="15">
        <v>1990</v>
      </c>
      <c r="AL217" s="15" t="s">
        <v>57</v>
      </c>
    </row>
    <row r="218" spans="1:39" s="82" customFormat="1" x14ac:dyDescent="0.3">
      <c r="A218" s="67">
        <v>65</v>
      </c>
      <c r="B218" s="68"/>
      <c r="C218" s="68"/>
      <c r="D218" s="68">
        <v>2</v>
      </c>
      <c r="E218" s="68">
        <v>40</v>
      </c>
      <c r="F218" s="68">
        <v>0</v>
      </c>
      <c r="G218" s="69"/>
      <c r="H218" s="68">
        <v>60</v>
      </c>
      <c r="I218" s="69">
        <v>4.4000000000000004</v>
      </c>
      <c r="J218" s="69"/>
      <c r="K218" s="70">
        <v>1</v>
      </c>
      <c r="L218" s="68">
        <v>360</v>
      </c>
      <c r="M218" s="71">
        <v>40</v>
      </c>
      <c r="N218" s="72"/>
      <c r="O218" s="84">
        <v>360</v>
      </c>
      <c r="P218" s="73">
        <v>0.90600000000000003</v>
      </c>
      <c r="Q218" s="84">
        <v>0</v>
      </c>
      <c r="R218" s="74">
        <v>6</v>
      </c>
      <c r="S218" s="74"/>
      <c r="T218" s="75">
        <v>10.9</v>
      </c>
      <c r="U218" s="75"/>
      <c r="V218" s="76"/>
      <c r="W218" s="76">
        <v>0.96199999999999997</v>
      </c>
      <c r="X218" s="77">
        <v>390</v>
      </c>
      <c r="Y218" s="78"/>
      <c r="Z218" s="79"/>
      <c r="AA218" s="69"/>
      <c r="AB218" s="68"/>
      <c r="AC218" s="68"/>
      <c r="AD218" s="68"/>
      <c r="AE218" s="80"/>
      <c r="AF218" s="80"/>
      <c r="AG218" s="80"/>
      <c r="AH218" s="80"/>
      <c r="AI218" s="81" t="s">
        <v>110</v>
      </c>
      <c r="AJ218" s="81" t="s">
        <v>113</v>
      </c>
      <c r="AK218" s="81">
        <v>1990</v>
      </c>
      <c r="AL218" s="81" t="s">
        <v>57</v>
      </c>
      <c r="AM218" s="81"/>
    </row>
    <row r="219" spans="1:39" s="82" customFormat="1" x14ac:dyDescent="0.3">
      <c r="A219" s="67">
        <v>27</v>
      </c>
      <c r="B219" s="68"/>
      <c r="C219" s="68"/>
      <c r="D219" s="68">
        <v>3</v>
      </c>
      <c r="E219" s="68">
        <v>40</v>
      </c>
      <c r="F219" s="68">
        <v>0</v>
      </c>
      <c r="G219" s="69"/>
      <c r="H219" s="68">
        <v>60</v>
      </c>
      <c r="I219" s="69">
        <v>4.4000000000000004</v>
      </c>
      <c r="J219" s="69"/>
      <c r="K219" s="70">
        <v>1</v>
      </c>
      <c r="L219" s="68">
        <f>3*365</f>
        <v>1095</v>
      </c>
      <c r="M219" s="71"/>
      <c r="N219" s="72"/>
      <c r="O219" s="84">
        <v>1095</v>
      </c>
      <c r="P219" s="73"/>
      <c r="Q219" s="84">
        <v>0</v>
      </c>
      <c r="R219" s="74">
        <f>3.32*2.3</f>
        <v>7.6359999999999992</v>
      </c>
      <c r="S219" s="74">
        <f>(3.32*0.6)^2</f>
        <v>3.9680639999999991</v>
      </c>
      <c r="T219" s="75"/>
      <c r="U219" s="75"/>
      <c r="V219" s="76"/>
      <c r="W219" s="76"/>
      <c r="X219" s="77"/>
      <c r="Y219" s="78"/>
      <c r="Z219" s="79"/>
      <c r="AA219" s="69"/>
      <c r="AB219" s="68"/>
      <c r="AC219" s="68"/>
      <c r="AD219" s="68"/>
      <c r="AE219" s="80"/>
      <c r="AF219" s="80"/>
      <c r="AG219" s="80"/>
      <c r="AH219" s="80"/>
      <c r="AI219" s="81" t="s">
        <v>110</v>
      </c>
      <c r="AJ219" s="81" t="s">
        <v>113</v>
      </c>
      <c r="AK219" s="81">
        <v>1990</v>
      </c>
      <c r="AL219" s="81" t="s">
        <v>57</v>
      </c>
      <c r="AM219" s="81" t="s">
        <v>548</v>
      </c>
    </row>
    <row r="220" spans="1:39" s="82" customFormat="1" x14ac:dyDescent="0.3">
      <c r="A220" s="67">
        <v>27</v>
      </c>
      <c r="B220" s="68"/>
      <c r="C220" s="68"/>
      <c r="D220" s="68">
        <v>3</v>
      </c>
      <c r="E220" s="68">
        <v>40</v>
      </c>
      <c r="F220" s="68">
        <v>0</v>
      </c>
      <c r="G220" s="69"/>
      <c r="H220" s="68">
        <v>60</v>
      </c>
      <c r="I220" s="69">
        <v>4.4000000000000004</v>
      </c>
      <c r="J220" s="69"/>
      <c r="K220" s="70">
        <v>1</v>
      </c>
      <c r="L220" s="68">
        <v>1460</v>
      </c>
      <c r="M220" s="71"/>
      <c r="N220" s="72"/>
      <c r="O220" s="84">
        <v>1460</v>
      </c>
      <c r="P220" s="73"/>
      <c r="Q220" s="84">
        <v>0</v>
      </c>
      <c r="R220" s="74">
        <f>3.32*2.5</f>
        <v>8.2999999999999989</v>
      </c>
      <c r="S220" s="74">
        <f>(3.32*0.5)^2</f>
        <v>2.7555999999999998</v>
      </c>
      <c r="T220" s="75"/>
      <c r="U220" s="75"/>
      <c r="V220" s="76"/>
      <c r="W220" s="76"/>
      <c r="X220" s="77"/>
      <c r="Y220" s="78"/>
      <c r="Z220" s="79"/>
      <c r="AA220" s="69"/>
      <c r="AB220" s="68"/>
      <c r="AC220" s="68"/>
      <c r="AD220" s="68"/>
      <c r="AE220" s="80"/>
      <c r="AF220" s="80"/>
      <c r="AG220" s="80"/>
      <c r="AH220" s="80"/>
      <c r="AI220" s="81" t="s">
        <v>110</v>
      </c>
      <c r="AJ220" s="81" t="s">
        <v>113</v>
      </c>
      <c r="AK220" s="81">
        <v>1990</v>
      </c>
      <c r="AL220" s="81" t="s">
        <v>57</v>
      </c>
      <c r="AM220" s="81" t="s">
        <v>548</v>
      </c>
    </row>
    <row r="221" spans="1:39" x14ac:dyDescent="0.3">
      <c r="A221" s="1">
        <v>27</v>
      </c>
      <c r="D221" s="2">
        <v>3</v>
      </c>
      <c r="E221" s="2">
        <v>40</v>
      </c>
      <c r="F221" s="2">
        <v>0</v>
      </c>
      <c r="H221" s="2">
        <v>60</v>
      </c>
      <c r="I221" s="3">
        <v>4.4000000000000004</v>
      </c>
      <c r="K221" s="4">
        <v>1</v>
      </c>
      <c r="L221" s="2">
        <v>1825</v>
      </c>
      <c r="N221" s="6">
        <v>6</v>
      </c>
      <c r="O221" s="17">
        <v>1825</v>
      </c>
      <c r="P221" s="7">
        <v>1</v>
      </c>
      <c r="Q221" s="84">
        <v>0</v>
      </c>
      <c r="R221" s="8">
        <f>3.32*2.3</f>
        <v>7.6359999999999992</v>
      </c>
      <c r="S221" s="8">
        <f>(3.32*0.5)^2</f>
        <v>2.7555999999999998</v>
      </c>
      <c r="T221" s="9">
        <f>3.32*3.2</f>
        <v>10.624000000000001</v>
      </c>
      <c r="U221" s="9">
        <f>(3.32*0.4)^2</f>
        <v>1.7635840000000003</v>
      </c>
      <c r="X221" s="11">
        <v>1855</v>
      </c>
      <c r="AI221" s="15" t="s">
        <v>110</v>
      </c>
      <c r="AJ221" s="15" t="s">
        <v>113</v>
      </c>
      <c r="AK221" s="15">
        <v>1990</v>
      </c>
      <c r="AL221" s="15" t="s">
        <v>57</v>
      </c>
      <c r="AM221" s="15" t="s">
        <v>548</v>
      </c>
    </row>
    <row r="222" spans="1:39" x14ac:dyDescent="0.3">
      <c r="A222" s="1">
        <v>17</v>
      </c>
      <c r="D222" s="2">
        <v>0</v>
      </c>
      <c r="F222" s="2">
        <v>0</v>
      </c>
      <c r="H222" s="2">
        <v>60</v>
      </c>
      <c r="I222" s="3">
        <v>4.5</v>
      </c>
      <c r="K222" s="4">
        <v>1</v>
      </c>
      <c r="L222" s="2">
        <v>60</v>
      </c>
      <c r="M222" s="5">
        <v>40</v>
      </c>
      <c r="O222" s="17">
        <v>60</v>
      </c>
      <c r="P222" s="7">
        <v>0.88200000000000001</v>
      </c>
      <c r="Q222" s="84">
        <v>0</v>
      </c>
      <c r="R222" s="8">
        <v>4.5</v>
      </c>
      <c r="S222" s="74"/>
      <c r="T222" s="9">
        <v>3.1</v>
      </c>
      <c r="W222" s="10">
        <v>0.76500000000000001</v>
      </c>
      <c r="X222" s="11">
        <v>120</v>
      </c>
      <c r="AI222" s="15" t="s">
        <v>111</v>
      </c>
      <c r="AJ222" s="15" t="s">
        <v>113</v>
      </c>
      <c r="AK222" s="15">
        <v>1990</v>
      </c>
      <c r="AL222" s="15" t="s">
        <v>57</v>
      </c>
    </row>
    <row r="223" spans="1:39" x14ac:dyDescent="0.3">
      <c r="A223" s="1">
        <v>17</v>
      </c>
      <c r="D223" s="2">
        <v>1</v>
      </c>
      <c r="E223" s="2">
        <v>40</v>
      </c>
      <c r="F223" s="2">
        <v>0</v>
      </c>
      <c r="H223" s="2">
        <v>60</v>
      </c>
      <c r="I223" s="3">
        <v>4.5</v>
      </c>
      <c r="K223" s="4">
        <v>1</v>
      </c>
      <c r="L223" s="2">
        <v>120</v>
      </c>
      <c r="N223" s="6">
        <v>6</v>
      </c>
      <c r="O223" s="17">
        <v>120</v>
      </c>
      <c r="P223" s="7">
        <v>0.76500000000000001</v>
      </c>
      <c r="Q223" s="84">
        <v>0</v>
      </c>
      <c r="R223" s="8">
        <v>3.1</v>
      </c>
      <c r="S223" s="74"/>
      <c r="T223" s="9">
        <v>7.8</v>
      </c>
      <c r="W223" s="10">
        <v>0.94099999999999995</v>
      </c>
      <c r="X223" s="11">
        <v>150</v>
      </c>
      <c r="AI223" s="15" t="s">
        <v>111</v>
      </c>
      <c r="AJ223" s="15" t="s">
        <v>113</v>
      </c>
      <c r="AK223" s="15">
        <v>1990</v>
      </c>
      <c r="AL223" s="15" t="s">
        <v>57</v>
      </c>
    </row>
    <row r="224" spans="1:39" s="82" customFormat="1" x14ac:dyDescent="0.3">
      <c r="A224" s="67">
        <v>17</v>
      </c>
      <c r="B224" s="68"/>
      <c r="C224" s="68"/>
      <c r="D224" s="68">
        <v>1</v>
      </c>
      <c r="E224" s="68">
        <v>40</v>
      </c>
      <c r="F224" s="68">
        <v>1</v>
      </c>
      <c r="G224" s="69">
        <v>6</v>
      </c>
      <c r="H224" s="68">
        <v>60</v>
      </c>
      <c r="I224" s="69">
        <v>4.5</v>
      </c>
      <c r="J224" s="69"/>
      <c r="K224" s="70">
        <v>1</v>
      </c>
      <c r="L224" s="68">
        <v>360</v>
      </c>
      <c r="M224" s="71"/>
      <c r="N224" s="72">
        <v>6</v>
      </c>
      <c r="O224" s="84">
        <v>360</v>
      </c>
      <c r="P224" s="73">
        <v>0.94099999999999995</v>
      </c>
      <c r="Q224" s="84">
        <v>0</v>
      </c>
      <c r="R224" s="74">
        <v>7.4</v>
      </c>
      <c r="S224" s="74"/>
      <c r="T224" s="75">
        <v>11.1</v>
      </c>
      <c r="U224" s="75"/>
      <c r="V224" s="76"/>
      <c r="W224" s="76">
        <v>1</v>
      </c>
      <c r="X224" s="77">
        <v>390</v>
      </c>
      <c r="Y224" s="78"/>
      <c r="Z224" s="79"/>
      <c r="AA224" s="69"/>
      <c r="AB224" s="68"/>
      <c r="AC224" s="68"/>
      <c r="AD224" s="68"/>
      <c r="AE224" s="80"/>
      <c r="AF224" s="80"/>
      <c r="AG224" s="80"/>
      <c r="AH224" s="80"/>
      <c r="AI224" s="81" t="s">
        <v>111</v>
      </c>
      <c r="AJ224" s="81" t="s">
        <v>113</v>
      </c>
      <c r="AK224" s="81">
        <v>1990</v>
      </c>
      <c r="AL224" s="81" t="s">
        <v>57</v>
      </c>
      <c r="AM224" s="81"/>
    </row>
    <row r="225" spans="1:39" s="82" customFormat="1" x14ac:dyDescent="0.3">
      <c r="A225" s="67">
        <v>10</v>
      </c>
      <c r="B225" s="68"/>
      <c r="C225" s="68"/>
      <c r="D225" s="68">
        <v>1</v>
      </c>
      <c r="E225" s="68">
        <v>40</v>
      </c>
      <c r="F225" s="68">
        <v>2</v>
      </c>
      <c r="G225" s="69">
        <v>6</v>
      </c>
      <c r="H225" s="68">
        <v>60</v>
      </c>
      <c r="I225" s="69">
        <v>4.5</v>
      </c>
      <c r="J225" s="69"/>
      <c r="K225" s="70">
        <v>1</v>
      </c>
      <c r="L225" s="68">
        <f>3*365</f>
        <v>1095</v>
      </c>
      <c r="M225" s="71"/>
      <c r="N225" s="72"/>
      <c r="O225" s="84">
        <v>1095</v>
      </c>
      <c r="P225" s="73"/>
      <c r="Q225" s="84">
        <v>0</v>
      </c>
      <c r="R225" s="74">
        <f>3.32*2.2</f>
        <v>7.3040000000000003</v>
      </c>
      <c r="S225" s="74">
        <f>(3.32*0.7)^2</f>
        <v>5.4009759999999991</v>
      </c>
      <c r="T225" s="75"/>
      <c r="U225" s="75"/>
      <c r="V225" s="76"/>
      <c r="W225" s="76"/>
      <c r="X225" s="77"/>
      <c r="Y225" s="78"/>
      <c r="Z225" s="79"/>
      <c r="AA225" s="69"/>
      <c r="AB225" s="68"/>
      <c r="AC225" s="68"/>
      <c r="AD225" s="68"/>
      <c r="AE225" s="80"/>
      <c r="AF225" s="80"/>
      <c r="AG225" s="80"/>
      <c r="AH225" s="80"/>
      <c r="AI225" s="81" t="s">
        <v>111</v>
      </c>
      <c r="AJ225" s="81" t="s">
        <v>113</v>
      </c>
      <c r="AK225" s="81">
        <v>1990</v>
      </c>
      <c r="AL225" s="81" t="s">
        <v>57</v>
      </c>
      <c r="AM225" s="81" t="s">
        <v>548</v>
      </c>
    </row>
    <row r="226" spans="1:39" s="82" customFormat="1" x14ac:dyDescent="0.3">
      <c r="A226" s="67">
        <v>10</v>
      </c>
      <c r="B226" s="68"/>
      <c r="C226" s="68"/>
      <c r="D226" s="68">
        <v>1</v>
      </c>
      <c r="E226" s="68">
        <v>40</v>
      </c>
      <c r="F226" s="68">
        <v>2</v>
      </c>
      <c r="G226" s="69">
        <v>6</v>
      </c>
      <c r="H226" s="68">
        <v>60</v>
      </c>
      <c r="I226" s="69">
        <v>4.5</v>
      </c>
      <c r="J226" s="69"/>
      <c r="K226" s="70">
        <v>1</v>
      </c>
      <c r="L226" s="68">
        <v>1460</v>
      </c>
      <c r="M226" s="71"/>
      <c r="N226" s="72"/>
      <c r="O226" s="84">
        <v>1460</v>
      </c>
      <c r="P226" s="73"/>
      <c r="Q226" s="84">
        <v>0</v>
      </c>
      <c r="R226" s="74">
        <f>3.32*2.4</f>
        <v>7.9679999999999991</v>
      </c>
      <c r="S226" s="74">
        <f>(3.32*0.9)^2</f>
        <v>8.9281439999999996</v>
      </c>
      <c r="T226" s="75"/>
      <c r="U226" s="75"/>
      <c r="V226" s="76"/>
      <c r="W226" s="76"/>
      <c r="X226" s="77"/>
      <c r="Y226" s="78"/>
      <c r="Z226" s="79"/>
      <c r="AA226" s="69"/>
      <c r="AB226" s="68"/>
      <c r="AC226" s="68"/>
      <c r="AD226" s="68"/>
      <c r="AE226" s="80"/>
      <c r="AF226" s="80"/>
      <c r="AG226" s="80"/>
      <c r="AH226" s="80"/>
      <c r="AI226" s="81" t="s">
        <v>111</v>
      </c>
      <c r="AJ226" s="81" t="s">
        <v>113</v>
      </c>
      <c r="AK226" s="81">
        <v>1990</v>
      </c>
      <c r="AL226" s="81" t="s">
        <v>57</v>
      </c>
      <c r="AM226" s="81" t="s">
        <v>548</v>
      </c>
    </row>
    <row r="227" spans="1:39" x14ac:dyDescent="0.3">
      <c r="A227" s="1">
        <v>10</v>
      </c>
      <c r="D227" s="2">
        <v>1</v>
      </c>
      <c r="E227" s="2">
        <v>40</v>
      </c>
      <c r="F227" s="2">
        <v>2</v>
      </c>
      <c r="G227" s="3">
        <v>6</v>
      </c>
      <c r="H227" s="2">
        <v>60</v>
      </c>
      <c r="I227" s="3">
        <v>4.5</v>
      </c>
      <c r="K227" s="4">
        <v>1</v>
      </c>
      <c r="L227" s="2">
        <v>1825</v>
      </c>
      <c r="N227" s="6">
        <v>6</v>
      </c>
      <c r="O227" s="84">
        <v>1825</v>
      </c>
      <c r="P227" s="7">
        <v>0.91</v>
      </c>
      <c r="Q227" s="84">
        <v>0</v>
      </c>
      <c r="R227" s="8">
        <f>3.32*2.1</f>
        <v>6.9719999999999995</v>
      </c>
      <c r="S227" s="74">
        <f>(3.32*0.6)^2</f>
        <v>3.9680639999999991</v>
      </c>
      <c r="T227" s="9">
        <f>3.32*2.9</f>
        <v>9.6280000000000001</v>
      </c>
      <c r="U227" s="9">
        <f>(3.32*0.6)^2</f>
        <v>3.9680639999999991</v>
      </c>
      <c r="X227" s="11">
        <v>1855</v>
      </c>
      <c r="AI227" s="15" t="s">
        <v>111</v>
      </c>
      <c r="AJ227" s="15" t="s">
        <v>113</v>
      </c>
      <c r="AK227" s="15">
        <v>1990</v>
      </c>
      <c r="AL227" s="15" t="s">
        <v>57</v>
      </c>
      <c r="AM227" s="15" t="s">
        <v>548</v>
      </c>
    </row>
    <row r="228" spans="1:39" x14ac:dyDescent="0.3">
      <c r="A228" s="1">
        <v>18</v>
      </c>
      <c r="D228" s="2">
        <v>0</v>
      </c>
      <c r="F228" s="2">
        <v>0</v>
      </c>
      <c r="H228" s="2">
        <v>60</v>
      </c>
      <c r="I228" s="3">
        <v>4.8</v>
      </c>
      <c r="K228" s="4">
        <v>1</v>
      </c>
      <c r="L228" s="2">
        <v>60</v>
      </c>
      <c r="M228" s="5">
        <v>40</v>
      </c>
      <c r="O228" s="84">
        <v>60</v>
      </c>
      <c r="P228" s="7">
        <v>0.88900000000000001</v>
      </c>
      <c r="Q228" s="84">
        <v>0</v>
      </c>
      <c r="R228" s="8">
        <v>4.8</v>
      </c>
      <c r="S228" s="74"/>
      <c r="T228" s="9">
        <v>4.5999999999999996</v>
      </c>
      <c r="W228" s="10">
        <v>0.94099999999999995</v>
      </c>
      <c r="X228" s="11">
        <v>120</v>
      </c>
      <c r="AI228" s="15" t="s">
        <v>112</v>
      </c>
      <c r="AJ228" s="15" t="s">
        <v>113</v>
      </c>
      <c r="AK228" s="15">
        <v>1990</v>
      </c>
      <c r="AL228" s="15" t="s">
        <v>57</v>
      </c>
    </row>
    <row r="229" spans="1:39" x14ac:dyDescent="0.3">
      <c r="A229" s="1">
        <v>18</v>
      </c>
      <c r="D229" s="2">
        <v>1</v>
      </c>
      <c r="E229" s="2">
        <v>40</v>
      </c>
      <c r="F229" s="2">
        <v>0</v>
      </c>
      <c r="H229" s="2">
        <v>60</v>
      </c>
      <c r="I229" s="3">
        <v>4.8</v>
      </c>
      <c r="K229" s="4">
        <v>1</v>
      </c>
      <c r="L229" s="2">
        <v>120</v>
      </c>
      <c r="M229" s="5">
        <v>40</v>
      </c>
      <c r="O229" s="84">
        <v>120</v>
      </c>
      <c r="P229" s="7">
        <v>0.94099999999999995</v>
      </c>
      <c r="Q229" s="84">
        <v>0</v>
      </c>
      <c r="R229" s="8">
        <v>4.5999999999999996</v>
      </c>
      <c r="T229" s="9">
        <v>8.1</v>
      </c>
      <c r="W229" s="10">
        <v>1</v>
      </c>
      <c r="X229" s="11">
        <v>150</v>
      </c>
      <c r="AI229" s="15" t="s">
        <v>112</v>
      </c>
      <c r="AJ229" s="15" t="s">
        <v>113</v>
      </c>
      <c r="AK229" s="15">
        <v>1990</v>
      </c>
      <c r="AL229" s="15" t="s">
        <v>57</v>
      </c>
    </row>
    <row r="230" spans="1:39" s="82" customFormat="1" x14ac:dyDescent="0.3">
      <c r="A230" s="67">
        <v>18</v>
      </c>
      <c r="B230" s="68"/>
      <c r="C230" s="68"/>
      <c r="D230" s="68">
        <v>2</v>
      </c>
      <c r="E230" s="68">
        <v>40</v>
      </c>
      <c r="F230" s="68">
        <v>0</v>
      </c>
      <c r="G230" s="69"/>
      <c r="H230" s="68">
        <v>60</v>
      </c>
      <c r="I230" s="69">
        <v>4.8</v>
      </c>
      <c r="J230" s="69"/>
      <c r="K230" s="70">
        <v>1</v>
      </c>
      <c r="L230" s="68">
        <v>360</v>
      </c>
      <c r="M230" s="71"/>
      <c r="N230" s="72">
        <v>6</v>
      </c>
      <c r="O230" s="84">
        <v>360</v>
      </c>
      <c r="P230" s="73">
        <v>1</v>
      </c>
      <c r="Q230" s="84">
        <v>0</v>
      </c>
      <c r="R230" s="74">
        <v>7</v>
      </c>
      <c r="S230" s="74"/>
      <c r="T230" s="75">
        <v>11.6</v>
      </c>
      <c r="U230" s="75"/>
      <c r="V230" s="76"/>
      <c r="W230" s="76">
        <v>1</v>
      </c>
      <c r="X230" s="77">
        <v>390</v>
      </c>
      <c r="Y230" s="78"/>
      <c r="Z230" s="79"/>
      <c r="AA230" s="69"/>
      <c r="AB230" s="68"/>
      <c r="AC230" s="68"/>
      <c r="AD230" s="68"/>
      <c r="AE230" s="80"/>
      <c r="AF230" s="80"/>
      <c r="AG230" s="80"/>
      <c r="AH230" s="80"/>
      <c r="AI230" s="81" t="s">
        <v>112</v>
      </c>
      <c r="AJ230" s="81" t="s">
        <v>113</v>
      </c>
      <c r="AK230" s="81">
        <v>1990</v>
      </c>
      <c r="AL230" s="81" t="s">
        <v>57</v>
      </c>
      <c r="AM230" s="81"/>
    </row>
    <row r="231" spans="1:39" s="82" customFormat="1" x14ac:dyDescent="0.3">
      <c r="A231" s="67">
        <v>13</v>
      </c>
      <c r="B231" s="68"/>
      <c r="C231" s="68"/>
      <c r="D231" s="68">
        <v>2</v>
      </c>
      <c r="E231" s="68">
        <v>40</v>
      </c>
      <c r="F231" s="68">
        <v>1</v>
      </c>
      <c r="G231" s="69">
        <v>6</v>
      </c>
      <c r="H231" s="68">
        <v>60</v>
      </c>
      <c r="I231" s="69">
        <v>4.8</v>
      </c>
      <c r="J231" s="69"/>
      <c r="K231" s="70">
        <v>1</v>
      </c>
      <c r="L231" s="68">
        <f>3*365</f>
        <v>1095</v>
      </c>
      <c r="M231" s="71"/>
      <c r="N231" s="72"/>
      <c r="O231" s="84">
        <v>1095</v>
      </c>
      <c r="P231" s="73"/>
      <c r="Q231" s="84">
        <v>0</v>
      </c>
      <c r="R231" s="74">
        <f>3.32*2.7</f>
        <v>8.9640000000000004</v>
      </c>
      <c r="S231" s="74">
        <f>(3.32*0.5)^2</f>
        <v>2.7555999999999998</v>
      </c>
      <c r="T231" s="75"/>
      <c r="U231" s="75"/>
      <c r="V231" s="76"/>
      <c r="W231" s="76"/>
      <c r="X231" s="77"/>
      <c r="Y231" s="78"/>
      <c r="Z231" s="79"/>
      <c r="AA231" s="69"/>
      <c r="AB231" s="68"/>
      <c r="AC231" s="68"/>
      <c r="AD231" s="68"/>
      <c r="AE231" s="80"/>
      <c r="AF231" s="80"/>
      <c r="AG231" s="80"/>
      <c r="AH231" s="80"/>
      <c r="AI231" s="81" t="s">
        <v>112</v>
      </c>
      <c r="AJ231" s="81" t="s">
        <v>113</v>
      </c>
      <c r="AK231" s="81">
        <v>1990</v>
      </c>
      <c r="AL231" s="81" t="s">
        <v>57</v>
      </c>
      <c r="AM231" s="81" t="s">
        <v>548</v>
      </c>
    </row>
    <row r="232" spans="1:39" s="82" customFormat="1" x14ac:dyDescent="0.3">
      <c r="A232" s="67">
        <v>13</v>
      </c>
      <c r="B232" s="68"/>
      <c r="C232" s="68"/>
      <c r="D232" s="68">
        <v>2</v>
      </c>
      <c r="E232" s="68">
        <v>40</v>
      </c>
      <c r="F232" s="68">
        <v>1</v>
      </c>
      <c r="G232" s="69">
        <v>6</v>
      </c>
      <c r="H232" s="68">
        <v>60</v>
      </c>
      <c r="I232" s="69">
        <v>4.8</v>
      </c>
      <c r="J232" s="69"/>
      <c r="K232" s="70">
        <v>1</v>
      </c>
      <c r="L232" s="68">
        <v>1460</v>
      </c>
      <c r="M232" s="71"/>
      <c r="N232" s="72"/>
      <c r="O232" s="84">
        <v>1460</v>
      </c>
      <c r="P232" s="73"/>
      <c r="Q232" s="84">
        <v>0</v>
      </c>
      <c r="R232" s="74">
        <f>3.32*2.7</f>
        <v>8.9640000000000004</v>
      </c>
      <c r="S232" s="74">
        <f>(3.32*0.5)^2</f>
        <v>2.7555999999999998</v>
      </c>
      <c r="T232" s="75"/>
      <c r="U232" s="75"/>
      <c r="V232" s="76"/>
      <c r="W232" s="76"/>
      <c r="X232" s="77"/>
      <c r="Y232" s="78"/>
      <c r="Z232" s="79"/>
      <c r="AA232" s="69"/>
      <c r="AB232" s="68"/>
      <c r="AC232" s="68"/>
      <c r="AD232" s="68"/>
      <c r="AE232" s="80"/>
      <c r="AF232" s="80"/>
      <c r="AG232" s="80"/>
      <c r="AH232" s="80"/>
      <c r="AI232" s="81" t="s">
        <v>112</v>
      </c>
      <c r="AJ232" s="81" t="s">
        <v>113</v>
      </c>
      <c r="AK232" s="81">
        <v>1990</v>
      </c>
      <c r="AL232" s="81" t="s">
        <v>57</v>
      </c>
      <c r="AM232" s="81" t="s">
        <v>548</v>
      </c>
    </row>
    <row r="233" spans="1:39" x14ac:dyDescent="0.3">
      <c r="A233" s="1">
        <v>13</v>
      </c>
      <c r="D233" s="2">
        <v>2</v>
      </c>
      <c r="E233" s="2">
        <v>40</v>
      </c>
      <c r="F233" s="2">
        <v>1</v>
      </c>
      <c r="G233" s="3">
        <v>6</v>
      </c>
      <c r="H233" s="2">
        <v>60</v>
      </c>
      <c r="I233" s="3">
        <v>4.8</v>
      </c>
      <c r="K233" s="4">
        <v>1</v>
      </c>
      <c r="L233" s="2">
        <v>1825</v>
      </c>
      <c r="N233" s="6">
        <v>6</v>
      </c>
      <c r="O233" s="17">
        <v>1825</v>
      </c>
      <c r="P233" s="7">
        <v>1</v>
      </c>
      <c r="Q233" s="84">
        <v>0</v>
      </c>
      <c r="R233" s="8">
        <f>3.32*2.7</f>
        <v>8.9640000000000004</v>
      </c>
      <c r="S233" s="8">
        <f>(3.32*0.4)^2</f>
        <v>1.7635840000000003</v>
      </c>
      <c r="T233" s="9">
        <f>3.32*3.2</f>
        <v>10.624000000000001</v>
      </c>
      <c r="U233" s="9">
        <f>(3.32*0.6)^2</f>
        <v>3.9680639999999991</v>
      </c>
      <c r="X233" s="11">
        <v>1855</v>
      </c>
      <c r="AI233" s="15" t="s">
        <v>112</v>
      </c>
      <c r="AJ233" s="15" t="s">
        <v>113</v>
      </c>
      <c r="AK233" s="15">
        <v>1990</v>
      </c>
      <c r="AL233" s="15" t="s">
        <v>57</v>
      </c>
      <c r="AM233" s="15" t="s">
        <v>548</v>
      </c>
    </row>
    <row r="234" spans="1:39" x14ac:dyDescent="0.3">
      <c r="A234" s="1">
        <v>23</v>
      </c>
      <c r="D234" s="2">
        <v>0</v>
      </c>
      <c r="F234" s="2">
        <v>0</v>
      </c>
      <c r="H234" s="2">
        <v>60</v>
      </c>
      <c r="I234" s="3">
        <v>5.7</v>
      </c>
      <c r="K234" s="4">
        <v>2</v>
      </c>
      <c r="L234" s="2">
        <v>60</v>
      </c>
      <c r="N234" s="6">
        <v>5</v>
      </c>
      <c r="O234" s="17">
        <v>60</v>
      </c>
      <c r="P234" s="7">
        <v>0.95699999999999996</v>
      </c>
      <c r="Q234" s="84">
        <v>0</v>
      </c>
      <c r="R234" s="8">
        <v>5.7</v>
      </c>
      <c r="T234" s="9">
        <v>8.9</v>
      </c>
      <c r="W234" s="10">
        <v>0.95499999999999996</v>
      </c>
      <c r="X234" s="11">
        <v>120</v>
      </c>
      <c r="AI234" s="15" t="s">
        <v>109</v>
      </c>
      <c r="AJ234" s="15" t="s">
        <v>113</v>
      </c>
      <c r="AK234" s="15">
        <v>1990</v>
      </c>
      <c r="AL234" s="15" t="s">
        <v>57</v>
      </c>
    </row>
    <row r="235" spans="1:39" x14ac:dyDescent="0.3">
      <c r="A235" s="1">
        <v>23</v>
      </c>
      <c r="D235" s="2">
        <v>0</v>
      </c>
      <c r="F235" s="2">
        <v>1</v>
      </c>
      <c r="G235" s="3">
        <v>5</v>
      </c>
      <c r="H235" s="2">
        <v>60</v>
      </c>
      <c r="I235" s="3">
        <v>5.7</v>
      </c>
      <c r="K235" s="4">
        <v>2</v>
      </c>
      <c r="L235" s="2">
        <v>120</v>
      </c>
      <c r="N235" s="6">
        <v>5</v>
      </c>
      <c r="O235" s="17">
        <v>120</v>
      </c>
      <c r="P235" s="7">
        <v>0.95499999999999996</v>
      </c>
      <c r="Q235" s="84">
        <v>0</v>
      </c>
      <c r="R235" s="8">
        <v>8.9</v>
      </c>
      <c r="T235" s="9">
        <v>11.4</v>
      </c>
      <c r="W235" s="10">
        <v>1</v>
      </c>
      <c r="X235" s="11">
        <v>150</v>
      </c>
      <c r="AI235" s="15" t="s">
        <v>109</v>
      </c>
      <c r="AJ235" s="15" t="s">
        <v>113</v>
      </c>
      <c r="AK235" s="15">
        <v>1990</v>
      </c>
      <c r="AL235" s="15" t="s">
        <v>57</v>
      </c>
    </row>
    <row r="236" spans="1:39" s="82" customFormat="1" x14ac:dyDescent="0.3">
      <c r="A236" s="67">
        <v>23</v>
      </c>
      <c r="B236" s="68"/>
      <c r="C236" s="68"/>
      <c r="D236" s="68">
        <v>0</v>
      </c>
      <c r="E236" s="68"/>
      <c r="F236" s="68">
        <v>2</v>
      </c>
      <c r="G236" s="69">
        <v>5</v>
      </c>
      <c r="H236" s="68">
        <v>60</v>
      </c>
      <c r="I236" s="69">
        <v>5.7</v>
      </c>
      <c r="J236" s="69"/>
      <c r="K236" s="70">
        <v>2</v>
      </c>
      <c r="L236" s="68">
        <v>360</v>
      </c>
      <c r="M236" s="71"/>
      <c r="N236" s="72">
        <v>5</v>
      </c>
      <c r="O236" s="84">
        <v>360</v>
      </c>
      <c r="P236" s="73">
        <v>0.90900000000000003</v>
      </c>
      <c r="Q236" s="84">
        <v>0</v>
      </c>
      <c r="R236" s="74">
        <v>8.6999999999999993</v>
      </c>
      <c r="S236" s="74"/>
      <c r="T236" s="75">
        <v>11.7</v>
      </c>
      <c r="U236" s="75"/>
      <c r="V236" s="76"/>
      <c r="W236" s="76">
        <v>1</v>
      </c>
      <c r="X236" s="77">
        <v>390</v>
      </c>
      <c r="Y236" s="78"/>
      <c r="Z236" s="79"/>
      <c r="AA236" s="69"/>
      <c r="AB236" s="68"/>
      <c r="AC236" s="68"/>
      <c r="AD236" s="68"/>
      <c r="AE236" s="80"/>
      <c r="AF236" s="80"/>
      <c r="AG236" s="80"/>
      <c r="AH236" s="80"/>
      <c r="AI236" s="81" t="s">
        <v>109</v>
      </c>
      <c r="AJ236" s="81" t="s">
        <v>113</v>
      </c>
      <c r="AK236" s="81">
        <v>1990</v>
      </c>
      <c r="AL236" s="81" t="s">
        <v>57</v>
      </c>
      <c r="AM236" s="81"/>
    </row>
    <row r="237" spans="1:39" s="82" customFormat="1" x14ac:dyDescent="0.3">
      <c r="A237" s="67">
        <v>10</v>
      </c>
      <c r="B237" s="68"/>
      <c r="C237" s="68"/>
      <c r="D237" s="68">
        <v>0</v>
      </c>
      <c r="E237" s="68"/>
      <c r="F237" s="68">
        <v>3</v>
      </c>
      <c r="G237" s="69">
        <v>5</v>
      </c>
      <c r="H237" s="68">
        <v>60</v>
      </c>
      <c r="I237" s="69">
        <v>5.7</v>
      </c>
      <c r="J237" s="69"/>
      <c r="K237" s="70">
        <v>2</v>
      </c>
      <c r="L237" s="68">
        <f>3*365</f>
        <v>1095</v>
      </c>
      <c r="M237" s="71"/>
      <c r="N237" s="72"/>
      <c r="O237" s="84">
        <v>1095</v>
      </c>
      <c r="P237" s="73"/>
      <c r="Q237" s="84">
        <v>0</v>
      </c>
      <c r="R237" s="74">
        <f>3.32*2.7</f>
        <v>8.9640000000000004</v>
      </c>
      <c r="S237" s="74">
        <f>(3.32*0.6)^2</f>
        <v>3.9680639999999991</v>
      </c>
      <c r="T237" s="75"/>
      <c r="U237" s="75"/>
      <c r="V237" s="76"/>
      <c r="W237" s="76"/>
      <c r="X237" s="77"/>
      <c r="Y237" s="78"/>
      <c r="Z237" s="79"/>
      <c r="AA237" s="69"/>
      <c r="AB237" s="68"/>
      <c r="AC237" s="68"/>
      <c r="AD237" s="68"/>
      <c r="AE237" s="80"/>
      <c r="AF237" s="80"/>
      <c r="AG237" s="80"/>
      <c r="AH237" s="80"/>
      <c r="AI237" s="81" t="s">
        <v>109</v>
      </c>
      <c r="AJ237" s="81" t="s">
        <v>113</v>
      </c>
      <c r="AK237" s="81">
        <v>1990</v>
      </c>
      <c r="AL237" s="81" t="s">
        <v>57</v>
      </c>
      <c r="AM237" s="81" t="s">
        <v>548</v>
      </c>
    </row>
    <row r="238" spans="1:39" s="82" customFormat="1" x14ac:dyDescent="0.3">
      <c r="A238" s="67">
        <v>10</v>
      </c>
      <c r="B238" s="68"/>
      <c r="C238" s="68"/>
      <c r="D238" s="68">
        <v>0</v>
      </c>
      <c r="E238" s="68"/>
      <c r="F238" s="68">
        <v>3</v>
      </c>
      <c r="G238" s="69">
        <v>5</v>
      </c>
      <c r="H238" s="68">
        <v>60</v>
      </c>
      <c r="I238" s="69">
        <v>5.7</v>
      </c>
      <c r="J238" s="69"/>
      <c r="K238" s="70">
        <v>2</v>
      </c>
      <c r="L238" s="68">
        <v>1460</v>
      </c>
      <c r="M238" s="71"/>
      <c r="N238" s="72"/>
      <c r="O238" s="84">
        <v>1460</v>
      </c>
      <c r="P238" s="73"/>
      <c r="Q238" s="84">
        <v>0</v>
      </c>
      <c r="R238" s="74">
        <f>3.32*3</f>
        <v>9.9599999999999991</v>
      </c>
      <c r="S238" s="74">
        <f>(3.32*0.5)^2</f>
        <v>2.7555999999999998</v>
      </c>
      <c r="T238" s="75"/>
      <c r="U238" s="75"/>
      <c r="V238" s="76"/>
      <c r="W238" s="76"/>
      <c r="X238" s="77"/>
      <c r="Y238" s="78"/>
      <c r="Z238" s="79"/>
      <c r="AA238" s="69"/>
      <c r="AB238" s="68"/>
      <c r="AC238" s="68"/>
      <c r="AD238" s="68"/>
      <c r="AE238" s="80"/>
      <c r="AF238" s="80"/>
      <c r="AG238" s="80"/>
      <c r="AH238" s="80"/>
      <c r="AI238" s="81" t="s">
        <v>109</v>
      </c>
      <c r="AJ238" s="81" t="s">
        <v>113</v>
      </c>
      <c r="AK238" s="81">
        <v>1990</v>
      </c>
      <c r="AL238" s="81" t="s">
        <v>57</v>
      </c>
      <c r="AM238" s="81" t="s">
        <v>548</v>
      </c>
    </row>
    <row r="239" spans="1:39" x14ac:dyDescent="0.3">
      <c r="A239" s="1">
        <v>10</v>
      </c>
      <c r="D239" s="2">
        <v>0</v>
      </c>
      <c r="F239" s="2">
        <v>3</v>
      </c>
      <c r="G239" s="3">
        <v>5</v>
      </c>
      <c r="H239" s="2">
        <v>60</v>
      </c>
      <c r="I239" s="3">
        <v>5.7</v>
      </c>
      <c r="K239" s="4">
        <v>2</v>
      </c>
      <c r="L239" s="2">
        <v>1825</v>
      </c>
      <c r="N239" s="6">
        <v>5</v>
      </c>
      <c r="O239" s="17">
        <v>1825</v>
      </c>
      <c r="P239" s="7">
        <v>1</v>
      </c>
      <c r="Q239" s="84">
        <v>0</v>
      </c>
      <c r="R239" s="8">
        <f>3.32*2.7</f>
        <v>8.9640000000000004</v>
      </c>
      <c r="S239" s="8">
        <f>(3.32*0.5)^2</f>
        <v>2.7555999999999998</v>
      </c>
      <c r="T239" s="9">
        <f>3.32*2.9</f>
        <v>9.6280000000000001</v>
      </c>
      <c r="U239" s="9">
        <f>(3.32*0.4)^2</f>
        <v>1.7635840000000003</v>
      </c>
      <c r="X239" s="11">
        <v>1855</v>
      </c>
      <c r="AI239" s="15" t="s">
        <v>109</v>
      </c>
      <c r="AJ239" s="15" t="s">
        <v>113</v>
      </c>
      <c r="AK239" s="15">
        <v>1990</v>
      </c>
      <c r="AL239" s="15" t="s">
        <v>57</v>
      </c>
      <c r="AM239" s="15" t="s">
        <v>548</v>
      </c>
    </row>
    <row r="240" spans="1:39" x14ac:dyDescent="0.3">
      <c r="A240" s="1">
        <v>65</v>
      </c>
      <c r="D240" s="2">
        <v>0</v>
      </c>
      <c r="F240" s="2">
        <v>0</v>
      </c>
      <c r="H240" s="2">
        <v>60</v>
      </c>
      <c r="I240" s="3">
        <v>5.4</v>
      </c>
      <c r="K240" s="4">
        <v>2</v>
      </c>
      <c r="L240" s="2">
        <v>60</v>
      </c>
      <c r="M240" s="5">
        <v>8</v>
      </c>
      <c r="O240" s="17">
        <v>60</v>
      </c>
      <c r="P240" s="7">
        <v>0.89200000000000002</v>
      </c>
      <c r="Q240" s="84">
        <v>0</v>
      </c>
      <c r="R240" s="8">
        <v>5.4</v>
      </c>
      <c r="T240" s="9">
        <v>5</v>
      </c>
      <c r="W240" s="10">
        <v>0.92900000000000005</v>
      </c>
      <c r="X240" s="11">
        <v>120</v>
      </c>
      <c r="AI240" s="15" t="s">
        <v>110</v>
      </c>
      <c r="AJ240" s="15" t="s">
        <v>113</v>
      </c>
      <c r="AK240" s="15">
        <v>1990</v>
      </c>
      <c r="AL240" s="15" t="s">
        <v>57</v>
      </c>
    </row>
    <row r="241" spans="1:39" x14ac:dyDescent="0.3">
      <c r="A241" s="1">
        <v>65</v>
      </c>
      <c r="D241" s="2">
        <v>1</v>
      </c>
      <c r="E241" s="2">
        <v>8</v>
      </c>
      <c r="F241" s="2">
        <v>0</v>
      </c>
      <c r="H241" s="2">
        <v>60</v>
      </c>
      <c r="I241" s="3">
        <v>5.4</v>
      </c>
      <c r="K241" s="4">
        <v>2</v>
      </c>
      <c r="L241" s="2">
        <v>120</v>
      </c>
      <c r="M241" s="5">
        <v>8</v>
      </c>
      <c r="O241" s="17">
        <v>120</v>
      </c>
      <c r="P241" s="7">
        <v>0.92900000000000005</v>
      </c>
      <c r="Q241" s="84">
        <v>0</v>
      </c>
      <c r="R241" s="8">
        <v>5</v>
      </c>
      <c r="T241" s="9">
        <v>9.3000000000000007</v>
      </c>
      <c r="W241" s="10">
        <v>1</v>
      </c>
      <c r="X241" s="11">
        <v>150</v>
      </c>
      <c r="AI241" s="15" t="s">
        <v>110</v>
      </c>
      <c r="AJ241" s="15" t="s">
        <v>113</v>
      </c>
      <c r="AK241" s="15">
        <v>1990</v>
      </c>
      <c r="AL241" s="15" t="s">
        <v>57</v>
      </c>
    </row>
    <row r="242" spans="1:39" s="82" customFormat="1" x14ac:dyDescent="0.3">
      <c r="A242" s="67">
        <v>65</v>
      </c>
      <c r="B242" s="68"/>
      <c r="C242" s="68"/>
      <c r="D242" s="68">
        <v>2</v>
      </c>
      <c r="E242" s="68">
        <v>8</v>
      </c>
      <c r="F242" s="68">
        <v>0</v>
      </c>
      <c r="G242" s="69"/>
      <c r="H242" s="68">
        <v>60</v>
      </c>
      <c r="I242" s="69">
        <v>5.4</v>
      </c>
      <c r="J242" s="69"/>
      <c r="K242" s="70">
        <v>2</v>
      </c>
      <c r="L242" s="68">
        <v>360</v>
      </c>
      <c r="M242" s="71">
        <v>8</v>
      </c>
      <c r="N242" s="72"/>
      <c r="O242" s="84">
        <v>360</v>
      </c>
      <c r="P242" s="73">
        <v>0.96199999999999997</v>
      </c>
      <c r="Q242" s="84">
        <v>0</v>
      </c>
      <c r="R242" s="74">
        <v>7.1</v>
      </c>
      <c r="S242" s="74"/>
      <c r="T242" s="75">
        <v>12.5</v>
      </c>
      <c r="U242" s="75"/>
      <c r="V242" s="76"/>
      <c r="W242" s="76">
        <v>1</v>
      </c>
      <c r="X242" s="77">
        <v>390</v>
      </c>
      <c r="Y242" s="78"/>
      <c r="Z242" s="79"/>
      <c r="AA242" s="69"/>
      <c r="AB242" s="68"/>
      <c r="AC242" s="68"/>
      <c r="AD242" s="68"/>
      <c r="AE242" s="80"/>
      <c r="AF242" s="80"/>
      <c r="AG242" s="80"/>
      <c r="AH242" s="80"/>
      <c r="AI242" s="81" t="s">
        <v>110</v>
      </c>
      <c r="AJ242" s="81" t="s">
        <v>113</v>
      </c>
      <c r="AK242" s="81">
        <v>1990</v>
      </c>
      <c r="AL242" s="81" t="s">
        <v>57</v>
      </c>
      <c r="AM242" s="81"/>
    </row>
    <row r="243" spans="1:39" s="82" customFormat="1" x14ac:dyDescent="0.3">
      <c r="A243" s="67">
        <v>27</v>
      </c>
      <c r="B243" s="68"/>
      <c r="C243" s="68"/>
      <c r="D243" s="68">
        <v>3</v>
      </c>
      <c r="E243" s="68">
        <v>8</v>
      </c>
      <c r="F243" s="68">
        <v>0</v>
      </c>
      <c r="G243" s="69"/>
      <c r="H243" s="68">
        <v>60</v>
      </c>
      <c r="I243" s="69">
        <v>5.4</v>
      </c>
      <c r="J243" s="69"/>
      <c r="K243" s="70">
        <v>2</v>
      </c>
      <c r="L243" s="68">
        <f>3*365</f>
        <v>1095</v>
      </c>
      <c r="M243" s="71"/>
      <c r="N243" s="72"/>
      <c r="O243" s="84">
        <v>1095</v>
      </c>
      <c r="P243" s="73"/>
      <c r="Q243" s="84">
        <v>0</v>
      </c>
      <c r="R243" s="74">
        <f>3.32*2.5</f>
        <v>8.2999999999999989</v>
      </c>
      <c r="S243" s="74">
        <f>(3.32*0.8)^2</f>
        <v>7.0543360000000011</v>
      </c>
      <c r="T243" s="75"/>
      <c r="U243" s="75"/>
      <c r="V243" s="76"/>
      <c r="W243" s="76"/>
      <c r="X243" s="77"/>
      <c r="Y243" s="78"/>
      <c r="Z243" s="79"/>
      <c r="AA243" s="69"/>
      <c r="AB243" s="68"/>
      <c r="AC243" s="68"/>
      <c r="AD243" s="68"/>
      <c r="AE243" s="80"/>
      <c r="AF243" s="80"/>
      <c r="AG243" s="80"/>
      <c r="AH243" s="80"/>
      <c r="AI243" s="81" t="s">
        <v>110</v>
      </c>
      <c r="AJ243" s="81" t="s">
        <v>113</v>
      </c>
      <c r="AK243" s="81">
        <v>1990</v>
      </c>
      <c r="AL243" s="81" t="s">
        <v>57</v>
      </c>
      <c r="AM243" s="81" t="s">
        <v>548</v>
      </c>
    </row>
    <row r="244" spans="1:39" s="82" customFormat="1" x14ac:dyDescent="0.3">
      <c r="A244" s="67">
        <v>27</v>
      </c>
      <c r="B244" s="68"/>
      <c r="C244" s="68"/>
      <c r="D244" s="68">
        <v>3</v>
      </c>
      <c r="E244" s="68">
        <v>8</v>
      </c>
      <c r="F244" s="68">
        <v>0</v>
      </c>
      <c r="G244" s="69"/>
      <c r="H244" s="68">
        <v>60</v>
      </c>
      <c r="I244" s="69">
        <v>5.4</v>
      </c>
      <c r="J244" s="69"/>
      <c r="K244" s="70">
        <v>2</v>
      </c>
      <c r="L244" s="68">
        <v>1460</v>
      </c>
      <c r="M244" s="71"/>
      <c r="N244" s="72"/>
      <c r="O244" s="84">
        <v>1460</v>
      </c>
      <c r="P244" s="73"/>
      <c r="Q244" s="84">
        <v>0</v>
      </c>
      <c r="R244" s="74">
        <f>3.32*2.6</f>
        <v>8.6319999999999997</v>
      </c>
      <c r="S244" s="74">
        <f>(3.32*0.6)^2</f>
        <v>3.9680639999999991</v>
      </c>
      <c r="T244" s="75"/>
      <c r="U244" s="75"/>
      <c r="V244" s="76"/>
      <c r="W244" s="76"/>
      <c r="X244" s="77"/>
      <c r="Y244" s="78"/>
      <c r="Z244" s="79"/>
      <c r="AA244" s="69"/>
      <c r="AB244" s="68"/>
      <c r="AC244" s="68"/>
      <c r="AD244" s="68"/>
      <c r="AE244" s="80"/>
      <c r="AF244" s="80"/>
      <c r="AG244" s="80"/>
      <c r="AH244" s="80"/>
      <c r="AI244" s="81" t="s">
        <v>110</v>
      </c>
      <c r="AJ244" s="81" t="s">
        <v>113</v>
      </c>
      <c r="AK244" s="81">
        <v>1990</v>
      </c>
      <c r="AL244" s="81" t="s">
        <v>57</v>
      </c>
      <c r="AM244" s="81" t="s">
        <v>548</v>
      </c>
    </row>
    <row r="245" spans="1:39" x14ac:dyDescent="0.3">
      <c r="A245" s="1">
        <v>27</v>
      </c>
      <c r="D245" s="2">
        <v>3</v>
      </c>
      <c r="E245" s="2">
        <v>8</v>
      </c>
      <c r="F245" s="2">
        <v>0</v>
      </c>
      <c r="H245" s="2">
        <v>60</v>
      </c>
      <c r="I245" s="3">
        <v>5.4</v>
      </c>
      <c r="K245" s="4">
        <v>2</v>
      </c>
      <c r="L245" s="2">
        <v>1825</v>
      </c>
      <c r="N245" s="6">
        <v>5</v>
      </c>
      <c r="O245" s="17">
        <v>1825</v>
      </c>
      <c r="P245" s="7">
        <v>1</v>
      </c>
      <c r="Q245" s="84">
        <v>0</v>
      </c>
      <c r="R245" s="8">
        <f>3.32*2.6</f>
        <v>8.6319999999999997</v>
      </c>
      <c r="S245" s="8">
        <f>(3.32*0.5)^2</f>
        <v>2.7555999999999998</v>
      </c>
      <c r="T245" s="9">
        <f>3.32*3.6</f>
        <v>11.952</v>
      </c>
      <c r="U245" s="9">
        <f>(3.32*0.5)^2</f>
        <v>2.7555999999999998</v>
      </c>
      <c r="X245" s="11">
        <v>1855</v>
      </c>
      <c r="AI245" s="15" t="s">
        <v>110</v>
      </c>
      <c r="AJ245" s="15" t="s">
        <v>113</v>
      </c>
      <c r="AK245" s="15">
        <v>1990</v>
      </c>
      <c r="AL245" s="15" t="s">
        <v>57</v>
      </c>
      <c r="AM245" s="15" t="s">
        <v>548</v>
      </c>
    </row>
    <row r="246" spans="1:39" x14ac:dyDescent="0.3">
      <c r="A246" s="1">
        <v>17</v>
      </c>
      <c r="D246" s="2">
        <v>0</v>
      </c>
      <c r="F246" s="2">
        <v>0</v>
      </c>
      <c r="H246" s="2">
        <v>60</v>
      </c>
      <c r="I246" s="3">
        <v>6.7</v>
      </c>
      <c r="K246" s="4">
        <v>2</v>
      </c>
      <c r="L246" s="2">
        <v>60</v>
      </c>
      <c r="M246" s="5">
        <v>8</v>
      </c>
      <c r="O246" s="17">
        <v>60</v>
      </c>
      <c r="P246" s="7">
        <v>0.94099999999999995</v>
      </c>
      <c r="Q246" s="84">
        <v>0</v>
      </c>
      <c r="R246" s="8">
        <v>6.7</v>
      </c>
      <c r="T246" s="9">
        <v>5.3</v>
      </c>
      <c r="W246" s="10">
        <v>1</v>
      </c>
      <c r="X246" s="11">
        <v>120</v>
      </c>
      <c r="AI246" s="15" t="s">
        <v>111</v>
      </c>
      <c r="AJ246" s="15" t="s">
        <v>113</v>
      </c>
      <c r="AK246" s="15">
        <v>1990</v>
      </c>
      <c r="AL246" s="15" t="s">
        <v>57</v>
      </c>
    </row>
    <row r="247" spans="1:39" x14ac:dyDescent="0.3">
      <c r="A247" s="1">
        <v>17</v>
      </c>
      <c r="D247" s="2">
        <v>1</v>
      </c>
      <c r="E247" s="2">
        <v>8</v>
      </c>
      <c r="F247" s="2">
        <v>0</v>
      </c>
      <c r="H247" s="2">
        <v>60</v>
      </c>
      <c r="I247" s="3">
        <v>6.7</v>
      </c>
      <c r="K247" s="4">
        <v>2</v>
      </c>
      <c r="L247" s="2">
        <v>120</v>
      </c>
      <c r="N247" s="6">
        <v>5</v>
      </c>
      <c r="O247" s="17">
        <v>120</v>
      </c>
      <c r="P247" s="7">
        <v>1</v>
      </c>
      <c r="Q247" s="84">
        <v>0</v>
      </c>
      <c r="R247" s="8">
        <v>5.3</v>
      </c>
      <c r="T247" s="9">
        <v>10.8</v>
      </c>
      <c r="W247" s="10">
        <v>1</v>
      </c>
      <c r="X247" s="11">
        <v>150</v>
      </c>
      <c r="AI247" s="15" t="s">
        <v>111</v>
      </c>
      <c r="AJ247" s="15" t="s">
        <v>113</v>
      </c>
      <c r="AK247" s="15">
        <v>1990</v>
      </c>
      <c r="AL247" s="15" t="s">
        <v>57</v>
      </c>
    </row>
    <row r="248" spans="1:39" s="82" customFormat="1" x14ac:dyDescent="0.3">
      <c r="A248" s="67">
        <v>17</v>
      </c>
      <c r="B248" s="68"/>
      <c r="C248" s="68"/>
      <c r="D248" s="68">
        <v>1</v>
      </c>
      <c r="E248" s="68">
        <v>8</v>
      </c>
      <c r="F248" s="68">
        <v>1</v>
      </c>
      <c r="G248" s="69">
        <v>5</v>
      </c>
      <c r="H248" s="68">
        <v>60</v>
      </c>
      <c r="I248" s="69">
        <v>6.7</v>
      </c>
      <c r="J248" s="69"/>
      <c r="K248" s="70">
        <v>2</v>
      </c>
      <c r="L248" s="68">
        <v>360</v>
      </c>
      <c r="M248" s="71"/>
      <c r="N248" s="72">
        <v>5</v>
      </c>
      <c r="O248" s="84">
        <v>360</v>
      </c>
      <c r="P248" s="73">
        <v>1</v>
      </c>
      <c r="Q248" s="84">
        <v>0</v>
      </c>
      <c r="R248" s="74">
        <v>10.4</v>
      </c>
      <c r="S248" s="74"/>
      <c r="T248" s="75">
        <v>13.4</v>
      </c>
      <c r="U248" s="75"/>
      <c r="V248" s="76"/>
      <c r="W248" s="76">
        <v>1</v>
      </c>
      <c r="X248" s="77">
        <v>390</v>
      </c>
      <c r="Y248" s="78"/>
      <c r="Z248" s="79"/>
      <c r="AA248" s="69"/>
      <c r="AB248" s="68"/>
      <c r="AC248" s="68"/>
      <c r="AD248" s="68"/>
      <c r="AE248" s="80"/>
      <c r="AF248" s="80"/>
      <c r="AG248" s="80"/>
      <c r="AH248" s="80"/>
      <c r="AI248" s="81" t="s">
        <v>111</v>
      </c>
      <c r="AJ248" s="81" t="s">
        <v>113</v>
      </c>
      <c r="AK248" s="81">
        <v>1990</v>
      </c>
      <c r="AL248" s="81" t="s">
        <v>57</v>
      </c>
      <c r="AM248" s="81"/>
    </row>
    <row r="249" spans="1:39" s="82" customFormat="1" x14ac:dyDescent="0.3">
      <c r="A249" s="67">
        <v>10</v>
      </c>
      <c r="B249" s="68"/>
      <c r="C249" s="68"/>
      <c r="D249" s="68">
        <v>1</v>
      </c>
      <c r="E249" s="68">
        <v>8</v>
      </c>
      <c r="F249" s="68">
        <v>2</v>
      </c>
      <c r="G249" s="69">
        <v>5</v>
      </c>
      <c r="H249" s="68">
        <v>60</v>
      </c>
      <c r="I249" s="69">
        <v>6.7</v>
      </c>
      <c r="J249" s="69"/>
      <c r="K249" s="70">
        <v>2</v>
      </c>
      <c r="L249" s="68">
        <f>3*365</f>
        <v>1095</v>
      </c>
      <c r="M249" s="71"/>
      <c r="N249" s="72"/>
      <c r="O249" s="84">
        <v>1095</v>
      </c>
      <c r="P249" s="73"/>
      <c r="Q249" s="84">
        <v>0</v>
      </c>
      <c r="R249" s="74">
        <f>3.32*1.8</f>
        <v>5.976</v>
      </c>
      <c r="S249" s="74">
        <f>(3.32*1.1)^2</f>
        <v>13.337104000000002</v>
      </c>
      <c r="T249" s="75"/>
      <c r="U249" s="75"/>
      <c r="V249" s="76"/>
      <c r="W249" s="76"/>
      <c r="X249" s="77"/>
      <c r="Y249" s="78"/>
      <c r="Z249" s="79"/>
      <c r="AA249" s="69"/>
      <c r="AB249" s="68"/>
      <c r="AC249" s="68"/>
      <c r="AD249" s="68"/>
      <c r="AE249" s="80"/>
      <c r="AF249" s="80"/>
      <c r="AG249" s="80"/>
      <c r="AH249" s="80"/>
      <c r="AI249" s="81" t="s">
        <v>111</v>
      </c>
      <c r="AJ249" s="81" t="s">
        <v>113</v>
      </c>
      <c r="AK249" s="81">
        <v>1990</v>
      </c>
      <c r="AL249" s="81" t="s">
        <v>57</v>
      </c>
      <c r="AM249" s="81" t="s">
        <v>548</v>
      </c>
    </row>
    <row r="250" spans="1:39" s="82" customFormat="1" x14ac:dyDescent="0.3">
      <c r="A250" s="67">
        <v>10</v>
      </c>
      <c r="B250" s="68"/>
      <c r="C250" s="68"/>
      <c r="D250" s="68">
        <v>1</v>
      </c>
      <c r="E250" s="68">
        <v>8</v>
      </c>
      <c r="F250" s="68">
        <v>2</v>
      </c>
      <c r="G250" s="69">
        <v>5</v>
      </c>
      <c r="H250" s="68">
        <v>60</v>
      </c>
      <c r="I250" s="69">
        <v>6.7</v>
      </c>
      <c r="J250" s="69"/>
      <c r="K250" s="70">
        <v>2</v>
      </c>
      <c r="L250" s="68">
        <v>1460</v>
      </c>
      <c r="M250" s="71"/>
      <c r="N250" s="72"/>
      <c r="O250" s="84">
        <v>1460</v>
      </c>
      <c r="P250" s="73"/>
      <c r="Q250" s="84">
        <v>0</v>
      </c>
      <c r="R250" s="74">
        <f>3.32*2.9</f>
        <v>9.6280000000000001</v>
      </c>
      <c r="S250" s="74">
        <f>(3.32*0.4)^2</f>
        <v>1.7635840000000003</v>
      </c>
      <c r="T250" s="75"/>
      <c r="U250" s="75"/>
      <c r="V250" s="76"/>
      <c r="W250" s="76"/>
      <c r="X250" s="77"/>
      <c r="Y250" s="78"/>
      <c r="Z250" s="79"/>
      <c r="AA250" s="69"/>
      <c r="AB250" s="68"/>
      <c r="AC250" s="68"/>
      <c r="AD250" s="68"/>
      <c r="AE250" s="80"/>
      <c r="AF250" s="80"/>
      <c r="AG250" s="80"/>
      <c r="AH250" s="80"/>
      <c r="AI250" s="81" t="s">
        <v>111</v>
      </c>
      <c r="AJ250" s="81" t="s">
        <v>113</v>
      </c>
      <c r="AK250" s="81">
        <v>1990</v>
      </c>
      <c r="AL250" s="81" t="s">
        <v>57</v>
      </c>
      <c r="AM250" s="81" t="s">
        <v>548</v>
      </c>
    </row>
    <row r="251" spans="1:39" ht="15.75" customHeight="1" x14ac:dyDescent="0.3">
      <c r="A251" s="1">
        <v>10</v>
      </c>
      <c r="D251" s="2">
        <v>1</v>
      </c>
      <c r="E251" s="2">
        <v>8</v>
      </c>
      <c r="F251" s="2">
        <v>2</v>
      </c>
      <c r="G251" s="3">
        <v>5</v>
      </c>
      <c r="H251" s="2">
        <v>60</v>
      </c>
      <c r="I251" s="3">
        <v>6.7</v>
      </c>
      <c r="K251" s="4">
        <v>2</v>
      </c>
      <c r="L251" s="2">
        <v>1825</v>
      </c>
      <c r="N251" s="6">
        <v>5</v>
      </c>
      <c r="O251" s="17">
        <v>1825</v>
      </c>
      <c r="P251" s="7">
        <v>1</v>
      </c>
      <c r="Q251" s="84">
        <v>0</v>
      </c>
      <c r="R251" s="8">
        <f>3.32*2.8</f>
        <v>9.2959999999999994</v>
      </c>
      <c r="S251" s="8">
        <f>(3.32*0.3)^2</f>
        <v>0.99201599999999979</v>
      </c>
      <c r="T251" s="9">
        <f>3.32*3</f>
        <v>9.9599999999999991</v>
      </c>
      <c r="U251" s="9">
        <f>(3.32*0.5)^2</f>
        <v>2.7555999999999998</v>
      </c>
      <c r="X251" s="11">
        <v>1855</v>
      </c>
      <c r="AI251" s="15" t="s">
        <v>111</v>
      </c>
      <c r="AJ251" s="15" t="s">
        <v>113</v>
      </c>
      <c r="AK251" s="15">
        <v>1990</v>
      </c>
      <c r="AL251" s="15" t="s">
        <v>57</v>
      </c>
      <c r="AM251" s="15" t="s">
        <v>548</v>
      </c>
    </row>
    <row r="252" spans="1:39" x14ac:dyDescent="0.3">
      <c r="A252" s="1">
        <v>18</v>
      </c>
      <c r="D252" s="2">
        <v>0</v>
      </c>
      <c r="F252" s="2">
        <v>0</v>
      </c>
      <c r="H252" s="2">
        <v>60</v>
      </c>
      <c r="I252" s="3">
        <v>5.8</v>
      </c>
      <c r="K252" s="4">
        <v>2</v>
      </c>
      <c r="L252" s="2">
        <v>60</v>
      </c>
      <c r="M252" s="5">
        <v>8</v>
      </c>
      <c r="O252" s="17">
        <v>60</v>
      </c>
      <c r="P252" s="7">
        <v>0.94399999999999995</v>
      </c>
      <c r="Q252" s="84">
        <v>0</v>
      </c>
      <c r="R252" s="8">
        <v>5.8</v>
      </c>
      <c r="T252" s="9">
        <v>5.4</v>
      </c>
      <c r="W252" s="10">
        <v>1</v>
      </c>
      <c r="X252" s="11">
        <v>120</v>
      </c>
      <c r="AI252" s="15" t="s">
        <v>112</v>
      </c>
      <c r="AJ252" s="15" t="s">
        <v>113</v>
      </c>
      <c r="AK252" s="15">
        <v>1990</v>
      </c>
      <c r="AL252" s="15" t="s">
        <v>57</v>
      </c>
    </row>
    <row r="253" spans="1:39" x14ac:dyDescent="0.3">
      <c r="A253" s="1">
        <v>18</v>
      </c>
      <c r="D253" s="2">
        <v>1</v>
      </c>
      <c r="E253" s="2">
        <v>8</v>
      </c>
      <c r="F253" s="2">
        <v>0</v>
      </c>
      <c r="H253" s="2">
        <v>60</v>
      </c>
      <c r="I253" s="3">
        <v>5.8</v>
      </c>
      <c r="K253" s="4">
        <v>2</v>
      </c>
      <c r="L253" s="2">
        <v>120</v>
      </c>
      <c r="M253" s="5">
        <v>8</v>
      </c>
      <c r="O253" s="17">
        <v>120</v>
      </c>
      <c r="P253" s="7">
        <v>1</v>
      </c>
      <c r="Q253" s="84">
        <v>0</v>
      </c>
      <c r="R253" s="8">
        <v>5.4</v>
      </c>
      <c r="T253" s="9">
        <v>8.9</v>
      </c>
      <c r="W253" s="10">
        <v>1</v>
      </c>
      <c r="X253" s="11">
        <v>150</v>
      </c>
      <c r="AI253" s="15" t="s">
        <v>112</v>
      </c>
      <c r="AJ253" s="15" t="s">
        <v>113</v>
      </c>
      <c r="AK253" s="15">
        <v>1990</v>
      </c>
      <c r="AL253" s="15" t="s">
        <v>57</v>
      </c>
    </row>
    <row r="254" spans="1:39" x14ac:dyDescent="0.3">
      <c r="A254" s="1">
        <v>18</v>
      </c>
      <c r="D254" s="2">
        <v>2</v>
      </c>
      <c r="E254" s="2">
        <v>8</v>
      </c>
      <c r="F254" s="2">
        <v>0</v>
      </c>
      <c r="H254" s="2">
        <v>60</v>
      </c>
      <c r="I254" s="3">
        <v>5.8</v>
      </c>
      <c r="K254" s="4">
        <v>2</v>
      </c>
      <c r="L254" s="2">
        <v>360</v>
      </c>
      <c r="N254" s="6">
        <v>5</v>
      </c>
      <c r="O254" s="17">
        <v>360</v>
      </c>
      <c r="P254" s="7">
        <v>1</v>
      </c>
      <c r="Q254" s="84">
        <v>0</v>
      </c>
      <c r="R254" s="8">
        <v>8.4</v>
      </c>
      <c r="T254" s="9">
        <v>13.4</v>
      </c>
      <c r="W254" s="10">
        <v>1</v>
      </c>
      <c r="X254" s="11">
        <v>390</v>
      </c>
      <c r="AI254" s="15" t="s">
        <v>112</v>
      </c>
      <c r="AJ254" s="15" t="s">
        <v>113</v>
      </c>
      <c r="AK254" s="15">
        <v>1990</v>
      </c>
      <c r="AL254" s="15" t="s">
        <v>57</v>
      </c>
    </row>
    <row r="255" spans="1:39" x14ac:dyDescent="0.3">
      <c r="A255" s="1">
        <v>13</v>
      </c>
      <c r="D255" s="2">
        <v>2</v>
      </c>
      <c r="E255" s="2">
        <v>8</v>
      </c>
      <c r="F255" s="2">
        <v>1</v>
      </c>
      <c r="G255" s="3">
        <v>6</v>
      </c>
      <c r="H255" s="2">
        <v>60</v>
      </c>
      <c r="I255" s="3">
        <v>5.8</v>
      </c>
      <c r="K255" s="4">
        <v>2</v>
      </c>
      <c r="L255" s="2">
        <f>3*365</f>
        <v>1095</v>
      </c>
      <c r="O255" s="17">
        <v>1095</v>
      </c>
      <c r="Q255" s="84">
        <v>0</v>
      </c>
      <c r="R255" s="8">
        <f>3.32*2.9</f>
        <v>9.6280000000000001</v>
      </c>
      <c r="S255" s="8">
        <f>(3.32*0.4)^2</f>
        <v>1.7635840000000003</v>
      </c>
      <c r="AI255" s="15" t="s">
        <v>112</v>
      </c>
      <c r="AJ255" s="15" t="s">
        <v>113</v>
      </c>
      <c r="AK255" s="15">
        <v>1990</v>
      </c>
      <c r="AL255" s="15" t="s">
        <v>57</v>
      </c>
      <c r="AM255" s="15" t="s">
        <v>548</v>
      </c>
    </row>
    <row r="256" spans="1:39" x14ac:dyDescent="0.3">
      <c r="A256" s="1">
        <v>13</v>
      </c>
      <c r="D256" s="2">
        <v>2</v>
      </c>
      <c r="E256" s="2">
        <v>8</v>
      </c>
      <c r="F256" s="2">
        <v>1</v>
      </c>
      <c r="G256" s="3">
        <v>6</v>
      </c>
      <c r="H256" s="2">
        <v>60</v>
      </c>
      <c r="I256" s="3">
        <v>5.8</v>
      </c>
      <c r="K256" s="4">
        <v>2</v>
      </c>
      <c r="L256" s="2">
        <v>1460</v>
      </c>
      <c r="O256" s="17">
        <v>1460</v>
      </c>
      <c r="Q256" s="84">
        <v>0</v>
      </c>
      <c r="R256" s="8">
        <f>3.32*3.2</f>
        <v>10.624000000000001</v>
      </c>
      <c r="S256" s="8">
        <f>(3.32*0.3)^2</f>
        <v>0.99201599999999979</v>
      </c>
      <c r="AI256" s="15" t="s">
        <v>112</v>
      </c>
      <c r="AJ256" s="15" t="s">
        <v>113</v>
      </c>
      <c r="AK256" s="15">
        <v>1990</v>
      </c>
      <c r="AL256" s="15" t="s">
        <v>57</v>
      </c>
      <c r="AM256" s="15" t="s">
        <v>548</v>
      </c>
    </row>
    <row r="257" spans="1:39" x14ac:dyDescent="0.3">
      <c r="A257" s="1">
        <v>13</v>
      </c>
      <c r="D257" s="2">
        <v>2</v>
      </c>
      <c r="E257" s="2">
        <v>8</v>
      </c>
      <c r="F257" s="2">
        <v>1</v>
      </c>
      <c r="G257" s="3">
        <v>6</v>
      </c>
      <c r="H257" s="2">
        <v>60</v>
      </c>
      <c r="I257" s="3">
        <v>5.8</v>
      </c>
      <c r="K257" s="4">
        <v>2</v>
      </c>
      <c r="L257" s="2">
        <v>1825</v>
      </c>
      <c r="N257" s="6">
        <v>5</v>
      </c>
      <c r="O257" s="17">
        <v>1825</v>
      </c>
      <c r="P257" s="7">
        <v>1</v>
      </c>
      <c r="Q257" s="84">
        <v>0</v>
      </c>
      <c r="R257" s="8">
        <f>3.32*3</f>
        <v>9.9599999999999991</v>
      </c>
      <c r="S257" s="8">
        <f>(3.32*0.5)^2</f>
        <v>2.7555999999999998</v>
      </c>
      <c r="T257" s="9">
        <f>3.32*3.5</f>
        <v>11.62</v>
      </c>
      <c r="U257" s="9">
        <f>(3.32*0.6)^2</f>
        <v>3.9680639999999991</v>
      </c>
      <c r="X257" s="11">
        <v>1855</v>
      </c>
      <c r="AI257" s="15" t="s">
        <v>112</v>
      </c>
      <c r="AJ257" s="15" t="s">
        <v>113</v>
      </c>
      <c r="AK257" s="15">
        <v>1990</v>
      </c>
      <c r="AL257" s="15" t="s">
        <v>57</v>
      </c>
      <c r="AM257" s="15" t="s">
        <v>548</v>
      </c>
    </row>
    <row r="258" spans="1:39" x14ac:dyDescent="0.3">
      <c r="A258" s="1">
        <v>23</v>
      </c>
      <c r="D258" s="2">
        <v>0</v>
      </c>
      <c r="F258" s="2">
        <v>0</v>
      </c>
      <c r="H258" s="2">
        <v>60</v>
      </c>
      <c r="I258" s="3">
        <v>4.0999999999999996</v>
      </c>
      <c r="K258" s="4">
        <v>3</v>
      </c>
      <c r="L258" s="2">
        <v>60</v>
      </c>
      <c r="N258" s="6">
        <v>5.7</v>
      </c>
      <c r="O258" s="17">
        <v>60</v>
      </c>
      <c r="P258" s="7">
        <v>0.82599999999999996</v>
      </c>
      <c r="Q258" s="84">
        <v>0</v>
      </c>
      <c r="R258" s="8">
        <v>4.0999999999999996</v>
      </c>
      <c r="T258" s="9">
        <v>4.2</v>
      </c>
      <c r="W258" s="10">
        <v>0.77300000000000002</v>
      </c>
      <c r="X258" s="11">
        <v>120</v>
      </c>
      <c r="AI258" s="15" t="s">
        <v>109</v>
      </c>
      <c r="AJ258" s="15" t="s">
        <v>113</v>
      </c>
      <c r="AK258" s="15">
        <v>1990</v>
      </c>
      <c r="AL258" s="15" t="s">
        <v>57</v>
      </c>
    </row>
    <row r="259" spans="1:39" x14ac:dyDescent="0.3">
      <c r="A259" s="1">
        <v>23</v>
      </c>
      <c r="D259" s="2">
        <v>0</v>
      </c>
      <c r="F259" s="2">
        <v>1</v>
      </c>
      <c r="G259" s="3">
        <v>5.7</v>
      </c>
      <c r="H259" s="2">
        <v>60</v>
      </c>
      <c r="I259" s="3">
        <v>4.0999999999999996</v>
      </c>
      <c r="K259" s="4">
        <v>3</v>
      </c>
      <c r="L259" s="2">
        <v>120</v>
      </c>
      <c r="N259" s="6">
        <v>5.7</v>
      </c>
      <c r="O259" s="17">
        <v>120</v>
      </c>
      <c r="P259" s="7">
        <v>0.77300000000000002</v>
      </c>
      <c r="Q259" s="84">
        <v>0</v>
      </c>
      <c r="R259" s="8">
        <v>4.2</v>
      </c>
      <c r="T259" s="9">
        <v>8.5</v>
      </c>
      <c r="W259" s="10">
        <v>1</v>
      </c>
      <c r="X259" s="11">
        <v>150</v>
      </c>
      <c r="AI259" s="15" t="s">
        <v>109</v>
      </c>
      <c r="AJ259" s="15" t="s">
        <v>113</v>
      </c>
      <c r="AK259" s="15">
        <v>1990</v>
      </c>
      <c r="AL259" s="15" t="s">
        <v>57</v>
      </c>
    </row>
    <row r="260" spans="1:39" x14ac:dyDescent="0.3">
      <c r="A260" s="1">
        <v>23</v>
      </c>
      <c r="D260" s="2">
        <v>0</v>
      </c>
      <c r="F260" s="2">
        <v>2</v>
      </c>
      <c r="G260" s="3">
        <v>5.7</v>
      </c>
      <c r="H260" s="2">
        <v>60</v>
      </c>
      <c r="I260" s="3">
        <v>4.0999999999999996</v>
      </c>
      <c r="K260" s="4">
        <v>3</v>
      </c>
      <c r="L260" s="2">
        <v>360</v>
      </c>
      <c r="N260" s="6">
        <v>5.7</v>
      </c>
      <c r="O260" s="17">
        <v>360</v>
      </c>
      <c r="P260" s="7">
        <v>0.77300000000000002</v>
      </c>
      <c r="Q260" s="84">
        <v>0</v>
      </c>
      <c r="R260" s="8">
        <v>6.3</v>
      </c>
      <c r="T260" s="9">
        <v>10.6</v>
      </c>
      <c r="W260" s="10">
        <v>1</v>
      </c>
      <c r="X260" s="11">
        <v>390</v>
      </c>
      <c r="AI260" s="15" t="s">
        <v>109</v>
      </c>
      <c r="AJ260" s="15" t="s">
        <v>113</v>
      </c>
      <c r="AK260" s="15">
        <v>1990</v>
      </c>
      <c r="AL260" s="15" t="s">
        <v>57</v>
      </c>
    </row>
    <row r="261" spans="1:39" x14ac:dyDescent="0.3">
      <c r="A261" s="1">
        <v>10</v>
      </c>
      <c r="D261" s="2">
        <v>0</v>
      </c>
      <c r="F261" s="2">
        <v>3</v>
      </c>
      <c r="G261" s="3">
        <v>5.7</v>
      </c>
      <c r="H261" s="2">
        <v>60</v>
      </c>
      <c r="I261" s="3">
        <v>4.0999999999999996</v>
      </c>
      <c r="K261" s="4">
        <v>3</v>
      </c>
      <c r="L261" s="2">
        <f>3*365</f>
        <v>1095</v>
      </c>
      <c r="O261" s="17">
        <v>1095</v>
      </c>
      <c r="Q261" s="84">
        <v>0</v>
      </c>
      <c r="R261" s="8">
        <f>3.32*2.5</f>
        <v>8.2999999999999989</v>
      </c>
      <c r="S261" s="8">
        <f>(3.32*0.5)^2</f>
        <v>2.7555999999999998</v>
      </c>
      <c r="AI261" s="15" t="s">
        <v>109</v>
      </c>
      <c r="AJ261" s="15" t="s">
        <v>113</v>
      </c>
      <c r="AK261" s="15">
        <v>1990</v>
      </c>
      <c r="AL261" s="15" t="s">
        <v>57</v>
      </c>
      <c r="AM261" s="15" t="s">
        <v>548</v>
      </c>
    </row>
    <row r="262" spans="1:39" x14ac:dyDescent="0.3">
      <c r="A262" s="1">
        <v>10</v>
      </c>
      <c r="D262" s="2">
        <v>0</v>
      </c>
      <c r="F262" s="2">
        <v>3</v>
      </c>
      <c r="G262" s="3">
        <v>5.7</v>
      </c>
      <c r="H262" s="2">
        <v>60</v>
      </c>
      <c r="I262" s="3">
        <v>4.0999999999999996</v>
      </c>
      <c r="K262" s="4">
        <v>3</v>
      </c>
      <c r="L262" s="2">
        <v>1460</v>
      </c>
      <c r="O262" s="17">
        <v>1460</v>
      </c>
      <c r="Q262" s="84">
        <v>0</v>
      </c>
      <c r="R262" s="8">
        <f>3.32*2.5</f>
        <v>8.2999999999999989</v>
      </c>
      <c r="S262" s="8">
        <f>(3.32*0.6)^2</f>
        <v>3.9680639999999991</v>
      </c>
      <c r="AI262" s="15" t="s">
        <v>109</v>
      </c>
      <c r="AJ262" s="15" t="s">
        <v>113</v>
      </c>
      <c r="AK262" s="15">
        <v>1990</v>
      </c>
      <c r="AL262" s="15" t="s">
        <v>57</v>
      </c>
      <c r="AM262" s="15" t="s">
        <v>548</v>
      </c>
    </row>
    <row r="263" spans="1:39" x14ac:dyDescent="0.3">
      <c r="A263" s="1">
        <v>10</v>
      </c>
      <c r="D263" s="2">
        <v>0</v>
      </c>
      <c r="F263" s="2">
        <v>3</v>
      </c>
      <c r="G263" s="3">
        <v>5.7</v>
      </c>
      <c r="H263" s="2">
        <v>60</v>
      </c>
      <c r="I263" s="3">
        <v>4.0999999999999996</v>
      </c>
      <c r="K263" s="4">
        <v>3</v>
      </c>
      <c r="L263" s="2">
        <v>1825</v>
      </c>
      <c r="N263" s="6">
        <v>5.7</v>
      </c>
      <c r="O263" s="17">
        <v>1825</v>
      </c>
      <c r="P263" s="7">
        <v>1</v>
      </c>
      <c r="Q263" s="84">
        <v>0</v>
      </c>
      <c r="R263" s="8">
        <f>3.32*2.3</f>
        <v>7.6359999999999992</v>
      </c>
      <c r="S263" s="8">
        <f>(3.32*0.5)^2</f>
        <v>2.7555999999999998</v>
      </c>
      <c r="T263" s="9">
        <f>3.32*3</f>
        <v>9.9599999999999991</v>
      </c>
      <c r="U263" s="9">
        <f>(3.32*0.7)^2</f>
        <v>5.4009759999999991</v>
      </c>
      <c r="X263" s="11">
        <v>1855</v>
      </c>
      <c r="AI263" s="15" t="s">
        <v>109</v>
      </c>
      <c r="AJ263" s="15" t="s">
        <v>113</v>
      </c>
      <c r="AK263" s="15">
        <v>1990</v>
      </c>
      <c r="AL263" s="15" t="s">
        <v>57</v>
      </c>
      <c r="AM263" s="15" t="s">
        <v>548</v>
      </c>
    </row>
    <row r="264" spans="1:39" x14ac:dyDescent="0.3">
      <c r="A264" s="1">
        <v>65</v>
      </c>
      <c r="D264" s="2">
        <v>0</v>
      </c>
      <c r="F264" s="2">
        <v>0</v>
      </c>
      <c r="H264" s="2">
        <v>60</v>
      </c>
      <c r="I264" s="3">
        <v>4.0999999999999996</v>
      </c>
      <c r="K264" s="4">
        <v>3</v>
      </c>
      <c r="L264" s="2">
        <v>60</v>
      </c>
      <c r="M264" s="5">
        <v>32</v>
      </c>
      <c r="O264" s="17">
        <v>60</v>
      </c>
      <c r="P264" s="7">
        <v>0.76900000000000002</v>
      </c>
      <c r="Q264" s="84">
        <v>0</v>
      </c>
      <c r="R264" s="8">
        <v>4.0999999999999996</v>
      </c>
      <c r="T264" s="9">
        <v>4</v>
      </c>
      <c r="W264" s="10">
        <v>0.78600000000000003</v>
      </c>
      <c r="X264" s="11">
        <v>120</v>
      </c>
      <c r="AI264" s="15" t="s">
        <v>110</v>
      </c>
      <c r="AJ264" s="15" t="s">
        <v>113</v>
      </c>
      <c r="AK264" s="15">
        <v>1990</v>
      </c>
      <c r="AL264" s="15" t="s">
        <v>57</v>
      </c>
    </row>
    <row r="265" spans="1:39" x14ac:dyDescent="0.3">
      <c r="A265" s="1">
        <v>65</v>
      </c>
      <c r="D265" s="2">
        <v>1</v>
      </c>
      <c r="E265" s="2">
        <v>32</v>
      </c>
      <c r="F265" s="2">
        <v>0</v>
      </c>
      <c r="H265" s="2">
        <v>60</v>
      </c>
      <c r="I265" s="3">
        <v>4.0999999999999996</v>
      </c>
      <c r="K265" s="4">
        <v>3</v>
      </c>
      <c r="L265" s="2">
        <v>120</v>
      </c>
      <c r="M265" s="5">
        <v>32</v>
      </c>
      <c r="O265" s="17">
        <v>120</v>
      </c>
      <c r="P265" s="7">
        <v>0.78600000000000003</v>
      </c>
      <c r="Q265" s="84">
        <v>0</v>
      </c>
      <c r="R265" s="8">
        <v>4</v>
      </c>
      <c r="T265" s="9">
        <v>9.3000000000000007</v>
      </c>
      <c r="W265" s="10">
        <v>0.96399999999999997</v>
      </c>
      <c r="X265" s="11">
        <v>150</v>
      </c>
      <c r="AI265" s="15" t="s">
        <v>110</v>
      </c>
      <c r="AJ265" s="15" t="s">
        <v>113</v>
      </c>
      <c r="AK265" s="15">
        <v>1990</v>
      </c>
      <c r="AL265" s="15" t="s">
        <v>57</v>
      </c>
    </row>
    <row r="266" spans="1:39" x14ac:dyDescent="0.3">
      <c r="A266" s="1">
        <v>65</v>
      </c>
      <c r="D266" s="2">
        <v>2</v>
      </c>
      <c r="E266" s="2">
        <v>32</v>
      </c>
      <c r="F266" s="2">
        <v>0</v>
      </c>
      <c r="H266" s="2">
        <v>60</v>
      </c>
      <c r="I266" s="3">
        <v>4.0999999999999996</v>
      </c>
      <c r="K266" s="4">
        <v>3</v>
      </c>
      <c r="L266" s="2">
        <v>360</v>
      </c>
      <c r="M266" s="5">
        <v>32</v>
      </c>
      <c r="O266" s="17">
        <v>360</v>
      </c>
      <c r="P266" s="7">
        <v>0.92500000000000004</v>
      </c>
      <c r="Q266" s="84">
        <v>0</v>
      </c>
      <c r="R266" s="8">
        <v>6.7</v>
      </c>
      <c r="T266" s="9">
        <v>12.3</v>
      </c>
      <c r="W266" s="10">
        <v>1</v>
      </c>
      <c r="X266" s="11">
        <v>390</v>
      </c>
      <c r="AI266" s="15" t="s">
        <v>110</v>
      </c>
      <c r="AJ266" s="15" t="s">
        <v>113</v>
      </c>
      <c r="AK266" s="15">
        <v>1990</v>
      </c>
      <c r="AL266" s="15" t="s">
        <v>57</v>
      </c>
    </row>
    <row r="267" spans="1:39" x14ac:dyDescent="0.3">
      <c r="A267" s="1">
        <v>27</v>
      </c>
      <c r="D267" s="2">
        <v>3</v>
      </c>
      <c r="E267" s="2">
        <v>32</v>
      </c>
      <c r="F267" s="2">
        <v>0</v>
      </c>
      <c r="H267" s="2">
        <v>60</v>
      </c>
      <c r="I267" s="3">
        <v>4.0999999999999996</v>
      </c>
      <c r="K267" s="4">
        <v>3</v>
      </c>
      <c r="L267" s="2">
        <f>3*365</f>
        <v>1095</v>
      </c>
      <c r="O267" s="17">
        <v>1095</v>
      </c>
      <c r="Q267" s="84">
        <v>0</v>
      </c>
      <c r="R267" s="8">
        <f>3.32*2.4</f>
        <v>7.9679999999999991</v>
      </c>
      <c r="S267" s="8">
        <f>(3.32*0.9)^2</f>
        <v>8.9281439999999996</v>
      </c>
      <c r="AI267" s="15" t="s">
        <v>110</v>
      </c>
      <c r="AJ267" s="15" t="s">
        <v>113</v>
      </c>
      <c r="AK267" s="15">
        <v>1990</v>
      </c>
      <c r="AL267" s="15" t="s">
        <v>57</v>
      </c>
      <c r="AM267" s="15" t="s">
        <v>548</v>
      </c>
    </row>
    <row r="268" spans="1:39" x14ac:dyDescent="0.3">
      <c r="A268" s="1">
        <v>27</v>
      </c>
      <c r="D268" s="2">
        <v>3</v>
      </c>
      <c r="E268" s="2">
        <v>32</v>
      </c>
      <c r="F268" s="2">
        <v>0</v>
      </c>
      <c r="H268" s="2">
        <v>60</v>
      </c>
      <c r="I268" s="3">
        <v>4.0999999999999996</v>
      </c>
      <c r="K268" s="4">
        <v>3</v>
      </c>
      <c r="L268" s="2">
        <v>1460</v>
      </c>
      <c r="O268" s="17">
        <v>1460</v>
      </c>
      <c r="Q268" s="84">
        <v>0</v>
      </c>
      <c r="R268" s="8">
        <f>3.32*2.4</f>
        <v>7.9679999999999991</v>
      </c>
      <c r="S268" s="8">
        <f>(3.32*0.8)^2</f>
        <v>7.0543360000000011</v>
      </c>
      <c r="AI268" s="15" t="s">
        <v>110</v>
      </c>
      <c r="AJ268" s="15" t="s">
        <v>113</v>
      </c>
      <c r="AK268" s="15">
        <v>1990</v>
      </c>
      <c r="AL268" s="15" t="s">
        <v>57</v>
      </c>
      <c r="AM268" s="15" t="s">
        <v>548</v>
      </c>
    </row>
    <row r="269" spans="1:39" x14ac:dyDescent="0.3">
      <c r="A269" s="1">
        <v>27</v>
      </c>
      <c r="D269" s="2">
        <v>3</v>
      </c>
      <c r="E269" s="2">
        <v>32</v>
      </c>
      <c r="F269" s="2">
        <v>0</v>
      </c>
      <c r="H269" s="2">
        <v>60</v>
      </c>
      <c r="I269" s="3">
        <v>4.0999999999999996</v>
      </c>
      <c r="K269" s="4">
        <v>3</v>
      </c>
      <c r="L269" s="2">
        <v>1825</v>
      </c>
      <c r="N269" s="6">
        <v>5.7</v>
      </c>
      <c r="O269" s="17">
        <v>1825</v>
      </c>
      <c r="P269" s="7">
        <v>0.96</v>
      </c>
      <c r="Q269" s="84">
        <v>0</v>
      </c>
      <c r="R269" s="8">
        <f>3.32*2.4</f>
        <v>7.9679999999999991</v>
      </c>
      <c r="S269" s="8">
        <f>(3.32*0.7)^2</f>
        <v>5.4009759999999991</v>
      </c>
      <c r="T269" s="9">
        <f>3.32*3.3</f>
        <v>10.956</v>
      </c>
      <c r="U269" s="9">
        <f>(3.32*0.4)^2</f>
        <v>1.7635840000000003</v>
      </c>
      <c r="X269" s="11">
        <v>1855</v>
      </c>
      <c r="AI269" s="15" t="s">
        <v>110</v>
      </c>
      <c r="AJ269" s="15" t="s">
        <v>113</v>
      </c>
      <c r="AK269" s="15">
        <v>1990</v>
      </c>
      <c r="AL269" s="15" t="s">
        <v>57</v>
      </c>
      <c r="AM269" s="15" t="s">
        <v>548</v>
      </c>
    </row>
    <row r="270" spans="1:39" x14ac:dyDescent="0.3">
      <c r="A270" s="1">
        <v>17</v>
      </c>
      <c r="D270" s="2">
        <v>0</v>
      </c>
      <c r="F270" s="2">
        <v>0</v>
      </c>
      <c r="H270" s="2">
        <v>60</v>
      </c>
      <c r="I270" s="3">
        <v>3.6</v>
      </c>
      <c r="K270" s="4">
        <v>3</v>
      </c>
      <c r="L270" s="2">
        <v>60</v>
      </c>
      <c r="M270" s="5">
        <v>32</v>
      </c>
      <c r="O270" s="17">
        <v>60</v>
      </c>
      <c r="P270" s="7">
        <v>0.76500000000000001</v>
      </c>
      <c r="Q270" s="84">
        <v>0</v>
      </c>
      <c r="R270" s="8">
        <v>3.6</v>
      </c>
      <c r="T270" s="9">
        <v>4.0999999999999996</v>
      </c>
      <c r="W270" s="10">
        <v>0.82399999999999995</v>
      </c>
      <c r="X270" s="11">
        <v>120</v>
      </c>
      <c r="AI270" s="15" t="s">
        <v>111</v>
      </c>
      <c r="AJ270" s="15" t="s">
        <v>113</v>
      </c>
      <c r="AK270" s="15">
        <v>1990</v>
      </c>
      <c r="AL270" s="15" t="s">
        <v>57</v>
      </c>
    </row>
    <row r="271" spans="1:39" x14ac:dyDescent="0.3">
      <c r="A271" s="1">
        <v>17</v>
      </c>
      <c r="D271" s="2">
        <v>1</v>
      </c>
      <c r="E271" s="2">
        <v>32</v>
      </c>
      <c r="F271" s="2">
        <v>0</v>
      </c>
      <c r="H271" s="2">
        <v>60</v>
      </c>
      <c r="I271" s="3">
        <v>3.6</v>
      </c>
      <c r="K271" s="4">
        <v>3</v>
      </c>
      <c r="L271" s="2">
        <v>120</v>
      </c>
      <c r="N271" s="6">
        <v>5.7</v>
      </c>
      <c r="O271" s="17">
        <v>120</v>
      </c>
      <c r="P271" s="7">
        <v>0.82399999999999995</v>
      </c>
      <c r="Q271" s="84">
        <v>0</v>
      </c>
      <c r="R271" s="8">
        <v>4.0999999999999996</v>
      </c>
      <c r="T271" s="9">
        <v>6.1</v>
      </c>
      <c r="W271" s="10">
        <v>0.94099999999999995</v>
      </c>
      <c r="X271" s="11">
        <v>150</v>
      </c>
      <c r="AI271" s="15" t="s">
        <v>111</v>
      </c>
      <c r="AJ271" s="15" t="s">
        <v>113</v>
      </c>
      <c r="AK271" s="15">
        <v>1990</v>
      </c>
      <c r="AL271" s="15" t="s">
        <v>57</v>
      </c>
    </row>
    <row r="272" spans="1:39" x14ac:dyDescent="0.3">
      <c r="A272" s="1">
        <v>17</v>
      </c>
      <c r="D272" s="2">
        <v>1</v>
      </c>
      <c r="E272" s="2">
        <v>32</v>
      </c>
      <c r="F272" s="2">
        <v>1</v>
      </c>
      <c r="G272" s="3">
        <v>5.7</v>
      </c>
      <c r="H272" s="2">
        <v>60</v>
      </c>
      <c r="I272" s="3">
        <v>3.6</v>
      </c>
      <c r="K272" s="4">
        <v>3</v>
      </c>
      <c r="L272" s="2">
        <v>360</v>
      </c>
      <c r="N272" s="6">
        <v>5.7</v>
      </c>
      <c r="O272" s="17">
        <v>360</v>
      </c>
      <c r="P272" s="7">
        <v>0.94099999999999995</v>
      </c>
      <c r="Q272" s="84">
        <v>0</v>
      </c>
      <c r="R272" s="8">
        <v>6.4</v>
      </c>
      <c r="T272" s="9">
        <v>9.8000000000000007</v>
      </c>
      <c r="W272" s="10">
        <v>1</v>
      </c>
      <c r="X272" s="11">
        <v>390</v>
      </c>
      <c r="AI272" s="15" t="s">
        <v>111</v>
      </c>
      <c r="AJ272" s="15" t="s">
        <v>113</v>
      </c>
      <c r="AK272" s="15">
        <v>1990</v>
      </c>
      <c r="AL272" s="15" t="s">
        <v>57</v>
      </c>
    </row>
    <row r="273" spans="1:39" x14ac:dyDescent="0.3">
      <c r="A273" s="1">
        <v>10</v>
      </c>
      <c r="D273" s="2">
        <v>1</v>
      </c>
      <c r="E273" s="2">
        <v>32</v>
      </c>
      <c r="F273" s="2">
        <v>2</v>
      </c>
      <c r="G273" s="3">
        <v>5.7</v>
      </c>
      <c r="H273" s="2">
        <v>60</v>
      </c>
      <c r="I273" s="3">
        <v>3.6</v>
      </c>
      <c r="K273" s="4">
        <v>3</v>
      </c>
      <c r="L273" s="2">
        <f>3*365</f>
        <v>1095</v>
      </c>
      <c r="O273" s="17">
        <v>1095</v>
      </c>
      <c r="Q273" s="84">
        <v>0</v>
      </c>
      <c r="R273" s="8">
        <f>3.32*1.6</f>
        <v>5.3120000000000003</v>
      </c>
      <c r="S273" s="8">
        <f>(3.32*1.1)^2</f>
        <v>13.337104000000002</v>
      </c>
      <c r="AI273" s="15" t="s">
        <v>111</v>
      </c>
      <c r="AJ273" s="15" t="s">
        <v>113</v>
      </c>
      <c r="AK273" s="15">
        <v>1990</v>
      </c>
      <c r="AL273" s="15" t="s">
        <v>57</v>
      </c>
      <c r="AM273" s="15" t="s">
        <v>548</v>
      </c>
    </row>
    <row r="274" spans="1:39" x14ac:dyDescent="0.3">
      <c r="A274" s="1">
        <v>10</v>
      </c>
      <c r="D274" s="2">
        <v>1</v>
      </c>
      <c r="E274" s="2">
        <v>32</v>
      </c>
      <c r="F274" s="2">
        <v>2</v>
      </c>
      <c r="G274" s="3">
        <v>5.7</v>
      </c>
      <c r="H274" s="2">
        <v>60</v>
      </c>
      <c r="I274" s="3">
        <v>3.6</v>
      </c>
      <c r="K274" s="4">
        <v>3</v>
      </c>
      <c r="L274" s="2">
        <v>1460</v>
      </c>
      <c r="O274" s="17">
        <v>1460</v>
      </c>
      <c r="Q274" s="84">
        <v>0</v>
      </c>
      <c r="R274" s="8">
        <f>3.32*1.8</f>
        <v>5.976</v>
      </c>
      <c r="S274" s="8">
        <f>(3.32*1.2)^2</f>
        <v>15.872255999999997</v>
      </c>
      <c r="AI274" s="15" t="s">
        <v>111</v>
      </c>
      <c r="AJ274" s="15" t="s">
        <v>113</v>
      </c>
      <c r="AK274" s="15">
        <v>1990</v>
      </c>
      <c r="AL274" s="15" t="s">
        <v>57</v>
      </c>
      <c r="AM274" s="15" t="s">
        <v>548</v>
      </c>
    </row>
    <row r="275" spans="1:39" x14ac:dyDescent="0.3">
      <c r="A275" s="1">
        <v>10</v>
      </c>
      <c r="D275" s="2">
        <v>1</v>
      </c>
      <c r="E275" s="2">
        <v>32</v>
      </c>
      <c r="F275" s="2">
        <v>2</v>
      </c>
      <c r="G275" s="3">
        <v>5.7</v>
      </c>
      <c r="H275" s="2">
        <v>60</v>
      </c>
      <c r="I275" s="3">
        <v>3.6</v>
      </c>
      <c r="K275" s="4">
        <v>3</v>
      </c>
      <c r="L275" s="2">
        <v>1825</v>
      </c>
      <c r="N275" s="6">
        <v>5.7</v>
      </c>
      <c r="O275" s="17">
        <v>1825</v>
      </c>
      <c r="P275" s="7">
        <v>0.91</v>
      </c>
      <c r="Q275" s="84">
        <v>0</v>
      </c>
      <c r="R275" s="8">
        <f>3.32*1.8</f>
        <v>5.976</v>
      </c>
      <c r="S275" s="8">
        <f>(3.32*0.9)^2</f>
        <v>8.9281439999999996</v>
      </c>
      <c r="T275" s="9">
        <f>3.32*3</f>
        <v>9.9599999999999991</v>
      </c>
      <c r="U275" s="9">
        <f>(3.32*0.7)^2</f>
        <v>5.4009759999999991</v>
      </c>
      <c r="X275" s="11">
        <v>1855</v>
      </c>
      <c r="AI275" s="15" t="s">
        <v>111</v>
      </c>
      <c r="AJ275" s="15" t="s">
        <v>113</v>
      </c>
      <c r="AK275" s="15">
        <v>1990</v>
      </c>
      <c r="AL275" s="15" t="s">
        <v>57</v>
      </c>
      <c r="AM275" s="15" t="s">
        <v>548</v>
      </c>
    </row>
    <row r="276" spans="1:39" x14ac:dyDescent="0.3">
      <c r="A276" s="1">
        <v>18</v>
      </c>
      <c r="D276" s="2">
        <v>0</v>
      </c>
      <c r="F276" s="2">
        <v>0</v>
      </c>
      <c r="H276" s="2">
        <v>60</v>
      </c>
      <c r="I276" s="3">
        <v>3.9</v>
      </c>
      <c r="K276" s="4">
        <v>3</v>
      </c>
      <c r="L276" s="2">
        <v>60</v>
      </c>
      <c r="M276" s="5">
        <v>32</v>
      </c>
      <c r="O276" s="17">
        <v>60</v>
      </c>
      <c r="P276" s="7">
        <v>0.77800000000000002</v>
      </c>
      <c r="Q276" s="84">
        <v>0</v>
      </c>
      <c r="R276" s="8">
        <v>3.9</v>
      </c>
      <c r="T276" s="9">
        <v>4.2</v>
      </c>
      <c r="W276" s="10">
        <v>0.82399999999999995</v>
      </c>
      <c r="X276" s="11">
        <v>120</v>
      </c>
      <c r="AI276" s="15" t="s">
        <v>112</v>
      </c>
      <c r="AJ276" s="15" t="s">
        <v>113</v>
      </c>
      <c r="AK276" s="15">
        <v>1990</v>
      </c>
      <c r="AL276" s="15" t="s">
        <v>57</v>
      </c>
    </row>
    <row r="277" spans="1:39" x14ac:dyDescent="0.3">
      <c r="A277" s="1">
        <v>18</v>
      </c>
      <c r="D277" s="2">
        <v>1</v>
      </c>
      <c r="E277" s="2">
        <v>32</v>
      </c>
      <c r="F277" s="2">
        <v>0</v>
      </c>
      <c r="H277" s="2">
        <v>60</v>
      </c>
      <c r="I277" s="3">
        <v>3.9</v>
      </c>
      <c r="K277" s="4">
        <v>3</v>
      </c>
      <c r="L277" s="2">
        <v>120</v>
      </c>
      <c r="M277" s="5">
        <v>32</v>
      </c>
      <c r="O277" s="17">
        <v>120</v>
      </c>
      <c r="P277" s="7">
        <v>0.82399999999999995</v>
      </c>
      <c r="Q277" s="84">
        <v>0</v>
      </c>
      <c r="R277" s="8">
        <v>4.2</v>
      </c>
      <c r="T277" s="9">
        <v>10.1</v>
      </c>
      <c r="W277" s="10">
        <v>1</v>
      </c>
      <c r="X277" s="11">
        <v>150</v>
      </c>
      <c r="AI277" s="15" t="s">
        <v>112</v>
      </c>
      <c r="AJ277" s="15" t="s">
        <v>113</v>
      </c>
      <c r="AK277" s="15">
        <v>1990</v>
      </c>
      <c r="AL277" s="15" t="s">
        <v>57</v>
      </c>
    </row>
    <row r="278" spans="1:39" x14ac:dyDescent="0.3">
      <c r="A278" s="1">
        <v>18</v>
      </c>
      <c r="D278" s="2">
        <v>2</v>
      </c>
      <c r="E278" s="2">
        <v>32</v>
      </c>
      <c r="F278" s="2">
        <v>0</v>
      </c>
      <c r="H278" s="2">
        <v>60</v>
      </c>
      <c r="I278" s="3">
        <v>3.9</v>
      </c>
      <c r="K278" s="4">
        <v>3</v>
      </c>
      <c r="L278" s="2">
        <v>360</v>
      </c>
      <c r="N278" s="6">
        <v>5.7</v>
      </c>
      <c r="O278" s="17">
        <v>360</v>
      </c>
      <c r="P278" s="7">
        <v>0.93799999999999994</v>
      </c>
      <c r="Q278" s="84">
        <v>0</v>
      </c>
      <c r="R278" s="8">
        <v>7.2</v>
      </c>
      <c r="T278" s="9">
        <v>11.2</v>
      </c>
      <c r="W278" s="10">
        <v>1</v>
      </c>
      <c r="X278" s="11">
        <v>390</v>
      </c>
      <c r="AI278" s="15" t="s">
        <v>112</v>
      </c>
      <c r="AJ278" s="15" t="s">
        <v>113</v>
      </c>
      <c r="AK278" s="15">
        <v>1990</v>
      </c>
      <c r="AL278" s="15" t="s">
        <v>57</v>
      </c>
    </row>
    <row r="279" spans="1:39" x14ac:dyDescent="0.3">
      <c r="A279" s="1">
        <v>13</v>
      </c>
      <c r="D279" s="2">
        <v>2</v>
      </c>
      <c r="E279" s="2">
        <v>32</v>
      </c>
      <c r="F279" s="2">
        <v>1</v>
      </c>
      <c r="G279" s="3">
        <v>5.7</v>
      </c>
      <c r="H279" s="2">
        <v>60</v>
      </c>
      <c r="I279" s="3">
        <v>3.9</v>
      </c>
      <c r="K279" s="4">
        <v>3</v>
      </c>
      <c r="L279" s="2">
        <f>3*365</f>
        <v>1095</v>
      </c>
      <c r="O279" s="17">
        <v>1095</v>
      </c>
      <c r="Q279" s="84">
        <v>0</v>
      </c>
      <c r="R279" s="8">
        <f>3.32*2.8</f>
        <v>9.2959999999999994</v>
      </c>
      <c r="S279" s="8">
        <f>(3.32*0.5)^2</f>
        <v>2.7555999999999998</v>
      </c>
      <c r="AI279" s="15" t="s">
        <v>112</v>
      </c>
      <c r="AJ279" s="15" t="s">
        <v>113</v>
      </c>
      <c r="AK279" s="15">
        <v>1990</v>
      </c>
      <c r="AL279" s="15" t="s">
        <v>57</v>
      </c>
      <c r="AM279" s="15" t="s">
        <v>548</v>
      </c>
    </row>
    <row r="280" spans="1:39" x14ac:dyDescent="0.3">
      <c r="A280" s="1">
        <v>13</v>
      </c>
      <c r="D280" s="2">
        <v>2</v>
      </c>
      <c r="E280" s="2">
        <v>32</v>
      </c>
      <c r="F280" s="2">
        <v>1</v>
      </c>
      <c r="G280" s="3">
        <v>5.7</v>
      </c>
      <c r="H280" s="2">
        <v>60</v>
      </c>
      <c r="I280" s="3">
        <v>3.9</v>
      </c>
      <c r="K280" s="4">
        <v>3</v>
      </c>
      <c r="L280" s="2">
        <v>1460</v>
      </c>
      <c r="O280" s="17">
        <v>1460</v>
      </c>
      <c r="Q280" s="84">
        <v>0</v>
      </c>
      <c r="R280" s="8">
        <f>3.32*2.9</f>
        <v>9.6280000000000001</v>
      </c>
      <c r="S280" s="8">
        <f>(3.32*0.6)^2</f>
        <v>3.9680639999999991</v>
      </c>
      <c r="AI280" s="15" t="s">
        <v>112</v>
      </c>
      <c r="AJ280" s="15" t="s">
        <v>113</v>
      </c>
      <c r="AK280" s="15">
        <v>1990</v>
      </c>
      <c r="AL280" s="15" t="s">
        <v>57</v>
      </c>
      <c r="AM280" s="15" t="s">
        <v>548</v>
      </c>
    </row>
    <row r="281" spans="1:39" x14ac:dyDescent="0.3">
      <c r="A281" s="1">
        <v>13</v>
      </c>
      <c r="D281" s="2">
        <v>2</v>
      </c>
      <c r="E281" s="2">
        <v>32</v>
      </c>
      <c r="F281" s="2">
        <v>1</v>
      </c>
      <c r="G281" s="3">
        <v>5.7</v>
      </c>
      <c r="H281" s="2">
        <v>60</v>
      </c>
      <c r="I281" s="3">
        <v>3.9</v>
      </c>
      <c r="K281" s="4">
        <v>3</v>
      </c>
      <c r="L281" s="2">
        <v>1825</v>
      </c>
      <c r="N281" s="6">
        <v>5.7</v>
      </c>
      <c r="O281" s="17">
        <v>1825</v>
      </c>
      <c r="P281" s="7">
        <v>1</v>
      </c>
      <c r="Q281" s="84">
        <v>0</v>
      </c>
      <c r="R281" s="8">
        <f>3.32*2.8</f>
        <v>9.2959999999999994</v>
      </c>
      <c r="S281" s="8">
        <f>(3.32*0.5)^2</f>
        <v>2.7555999999999998</v>
      </c>
      <c r="T281" s="9">
        <f>3.32*3.4</f>
        <v>11.287999999999998</v>
      </c>
      <c r="U281" s="9">
        <f>(3.32*0.4)^2</f>
        <v>1.7635840000000003</v>
      </c>
      <c r="X281" s="11">
        <v>1855</v>
      </c>
      <c r="AI281" s="15" t="s">
        <v>112</v>
      </c>
      <c r="AJ281" s="15" t="s">
        <v>113</v>
      </c>
      <c r="AK281" s="15">
        <v>1990</v>
      </c>
      <c r="AL281" s="15" t="s">
        <v>57</v>
      </c>
      <c r="AM281" s="15" t="s">
        <v>548</v>
      </c>
    </row>
    <row r="282" spans="1:39" x14ac:dyDescent="0.3">
      <c r="A282" s="1">
        <v>52</v>
      </c>
      <c r="B282" s="2">
        <v>52</v>
      </c>
      <c r="D282" s="2">
        <v>3</v>
      </c>
      <c r="E282" s="2">
        <v>40</v>
      </c>
      <c r="F282" s="2">
        <v>0</v>
      </c>
      <c r="H282" s="2">
        <v>42</v>
      </c>
      <c r="I282" s="3">
        <v>5</v>
      </c>
      <c r="J282" s="3">
        <v>14</v>
      </c>
      <c r="K282" s="4">
        <v>1</v>
      </c>
      <c r="L282" s="2">
        <v>126</v>
      </c>
      <c r="N282" s="6">
        <v>6</v>
      </c>
      <c r="O282" s="17">
        <v>126</v>
      </c>
      <c r="P282" s="7">
        <f>49/52</f>
        <v>0.94230769230769229</v>
      </c>
      <c r="Q282" s="84">
        <v>1</v>
      </c>
      <c r="R282" s="8">
        <v>8.2479275134435852</v>
      </c>
      <c r="S282" s="8">
        <v>5.2842444203910466</v>
      </c>
      <c r="Y282" s="12">
        <f>10/52</f>
        <v>0.19230769230769232</v>
      </c>
      <c r="AI282" s="15" t="s">
        <v>301</v>
      </c>
      <c r="AJ282" s="15" t="s">
        <v>52</v>
      </c>
      <c r="AK282" s="15">
        <v>2007</v>
      </c>
      <c r="AL282" s="15" t="s">
        <v>53</v>
      </c>
    </row>
    <row r="283" spans="1:39" x14ac:dyDescent="0.3">
      <c r="A283" s="1">
        <v>54</v>
      </c>
      <c r="B283" s="2">
        <v>54</v>
      </c>
      <c r="D283" s="2">
        <v>0</v>
      </c>
      <c r="F283" s="2">
        <v>0</v>
      </c>
      <c r="H283" s="2">
        <v>42</v>
      </c>
      <c r="I283" s="3">
        <v>4.8</v>
      </c>
      <c r="J283" s="3">
        <v>11.3</v>
      </c>
      <c r="K283" s="4">
        <v>1</v>
      </c>
      <c r="L283" s="2">
        <v>126</v>
      </c>
      <c r="N283" s="6">
        <v>6</v>
      </c>
      <c r="O283" s="17">
        <v>126</v>
      </c>
      <c r="P283" s="7">
        <v>0</v>
      </c>
      <c r="Q283" s="84">
        <v>1</v>
      </c>
      <c r="R283" s="8">
        <v>0</v>
      </c>
      <c r="S283" s="8">
        <v>0</v>
      </c>
      <c r="Y283" s="12">
        <f>9/54</f>
        <v>0.16666666666666666</v>
      </c>
      <c r="AI283" s="15" t="s">
        <v>302</v>
      </c>
      <c r="AJ283" s="15" t="s">
        <v>52</v>
      </c>
      <c r="AK283" s="15">
        <v>2007</v>
      </c>
      <c r="AL283" s="15" t="s">
        <v>53</v>
      </c>
    </row>
    <row r="284" spans="1:39" x14ac:dyDescent="0.3">
      <c r="A284" s="1">
        <v>72</v>
      </c>
      <c r="B284" s="2">
        <v>72</v>
      </c>
      <c r="D284" s="2">
        <v>2</v>
      </c>
      <c r="E284" s="2">
        <v>40</v>
      </c>
      <c r="F284" s="2">
        <v>0</v>
      </c>
      <c r="H284" s="2">
        <v>42</v>
      </c>
      <c r="I284" s="3">
        <v>4.5</v>
      </c>
      <c r="J284" s="3">
        <v>5.2</v>
      </c>
      <c r="K284" s="4">
        <v>1</v>
      </c>
      <c r="L284" s="2">
        <v>140</v>
      </c>
      <c r="N284" s="6">
        <v>6</v>
      </c>
      <c r="O284" s="17">
        <v>140</v>
      </c>
      <c r="P284" s="7">
        <f>65/72</f>
        <v>0.90277777777777779</v>
      </c>
      <c r="Q284" s="84">
        <v>1</v>
      </c>
      <c r="R284" s="8">
        <v>8.2479275134435852</v>
      </c>
      <c r="S284" s="8">
        <v>7.6033458092705368</v>
      </c>
      <c r="Y284" s="12">
        <f>13/72</f>
        <v>0.18055555555555555</v>
      </c>
      <c r="AI284" s="15" t="s">
        <v>102</v>
      </c>
      <c r="AJ284" s="15" t="s">
        <v>52</v>
      </c>
      <c r="AK284" s="15">
        <v>2007</v>
      </c>
      <c r="AL284" s="15" t="s">
        <v>53</v>
      </c>
    </row>
    <row r="285" spans="1:39" x14ac:dyDescent="0.3">
      <c r="A285" s="1">
        <v>52</v>
      </c>
      <c r="B285" s="2">
        <v>52</v>
      </c>
      <c r="D285" s="2">
        <v>3</v>
      </c>
      <c r="E285" s="2">
        <v>8</v>
      </c>
      <c r="F285" s="2">
        <v>0</v>
      </c>
      <c r="H285" s="2">
        <v>42</v>
      </c>
      <c r="I285" s="3">
        <v>4.5</v>
      </c>
      <c r="J285" s="3">
        <v>14.6</v>
      </c>
      <c r="K285" s="4">
        <v>2</v>
      </c>
      <c r="L285" s="2">
        <v>126</v>
      </c>
      <c r="N285" s="6">
        <v>5</v>
      </c>
      <c r="O285" s="17">
        <v>126</v>
      </c>
      <c r="P285" s="7">
        <f>43/52</f>
        <v>0.82692307692307687</v>
      </c>
      <c r="Q285" s="84">
        <v>1</v>
      </c>
      <c r="R285" s="8">
        <v>8.2479275134435852</v>
      </c>
      <c r="S285" s="8">
        <v>20.33537825275241</v>
      </c>
      <c r="Y285" s="12">
        <f>45/52</f>
        <v>0.86538461538461542</v>
      </c>
      <c r="AI285" s="15" t="s">
        <v>301</v>
      </c>
      <c r="AJ285" s="15" t="s">
        <v>52</v>
      </c>
      <c r="AK285" s="15">
        <v>2007</v>
      </c>
      <c r="AL285" s="15" t="s">
        <v>53</v>
      </c>
    </row>
    <row r="286" spans="1:39" x14ac:dyDescent="0.3">
      <c r="A286" s="1">
        <v>54</v>
      </c>
      <c r="B286" s="2">
        <v>54</v>
      </c>
      <c r="D286" s="2">
        <v>0</v>
      </c>
      <c r="F286" s="2">
        <v>0</v>
      </c>
      <c r="H286" s="2">
        <v>42</v>
      </c>
      <c r="I286" s="3">
        <v>4.4000000000000004</v>
      </c>
      <c r="J286" s="3">
        <v>8.8000000000000007</v>
      </c>
      <c r="K286" s="4">
        <v>2</v>
      </c>
      <c r="L286" s="2">
        <v>126</v>
      </c>
      <c r="N286" s="6">
        <v>5</v>
      </c>
      <c r="O286" s="17">
        <v>126</v>
      </c>
      <c r="P286" s="7">
        <v>0</v>
      </c>
      <c r="Q286" s="84">
        <v>1</v>
      </c>
      <c r="R286" s="8">
        <v>0</v>
      </c>
      <c r="S286" s="8">
        <v>0</v>
      </c>
      <c r="Y286" s="12">
        <f>48/54</f>
        <v>0.88888888888888884</v>
      </c>
      <c r="AI286" s="15" t="s">
        <v>302</v>
      </c>
      <c r="AJ286" s="15" t="s">
        <v>52</v>
      </c>
      <c r="AK286" s="15">
        <v>2007</v>
      </c>
      <c r="AL286" s="15" t="s">
        <v>53</v>
      </c>
    </row>
    <row r="287" spans="1:39" x14ac:dyDescent="0.3">
      <c r="A287" s="1">
        <v>72</v>
      </c>
      <c r="B287" s="2">
        <v>72</v>
      </c>
      <c r="D287" s="2">
        <v>2</v>
      </c>
      <c r="E287" s="2">
        <v>8</v>
      </c>
      <c r="F287" s="2">
        <v>0</v>
      </c>
      <c r="H287" s="2">
        <v>42</v>
      </c>
      <c r="I287" s="3">
        <v>3.5</v>
      </c>
      <c r="J287" s="3">
        <v>43.4</v>
      </c>
      <c r="K287" s="4">
        <v>2</v>
      </c>
      <c r="L287" s="2">
        <v>140</v>
      </c>
      <c r="N287" s="6">
        <v>5</v>
      </c>
      <c r="O287" s="17">
        <v>140</v>
      </c>
      <c r="P287" s="7">
        <f>64/72</f>
        <v>0.88888888888888884</v>
      </c>
      <c r="Q287" s="84">
        <v>1</v>
      </c>
      <c r="R287" s="8">
        <v>7.6220518194563764</v>
      </c>
      <c r="S287" s="8">
        <v>25.857212125367152</v>
      </c>
      <c r="Y287" s="12">
        <f>67/72</f>
        <v>0.93055555555555558</v>
      </c>
      <c r="AI287" s="15" t="s">
        <v>102</v>
      </c>
      <c r="AJ287" s="15" t="s">
        <v>52</v>
      </c>
      <c r="AK287" s="15">
        <v>2007</v>
      </c>
      <c r="AL287" s="15" t="s">
        <v>53</v>
      </c>
    </row>
    <row r="288" spans="1:39" x14ac:dyDescent="0.3">
      <c r="A288" s="1">
        <v>52</v>
      </c>
      <c r="B288" s="2">
        <v>52</v>
      </c>
      <c r="D288" s="2">
        <v>3</v>
      </c>
      <c r="E288" s="2">
        <v>32</v>
      </c>
      <c r="F288" s="2">
        <v>0</v>
      </c>
      <c r="H288" s="2">
        <v>42</v>
      </c>
      <c r="I288" s="3">
        <v>0</v>
      </c>
      <c r="J288" s="3">
        <v>0</v>
      </c>
      <c r="K288" s="4">
        <v>3</v>
      </c>
      <c r="L288" s="2">
        <v>126</v>
      </c>
      <c r="N288" s="6">
        <v>5.8</v>
      </c>
      <c r="O288" s="17">
        <v>126</v>
      </c>
      <c r="P288" s="7">
        <v>1</v>
      </c>
      <c r="Q288" s="84">
        <v>1</v>
      </c>
      <c r="R288" s="8">
        <v>9.7448338374995451</v>
      </c>
      <c r="S288" s="8">
        <v>5.5629389755396677</v>
      </c>
      <c r="Y288" s="12">
        <f>5/52</f>
        <v>9.6153846153846159E-2</v>
      </c>
      <c r="AI288" s="15" t="s">
        <v>301</v>
      </c>
      <c r="AJ288" s="15" t="s">
        <v>52</v>
      </c>
      <c r="AK288" s="15">
        <v>2007</v>
      </c>
      <c r="AL288" s="15" t="s">
        <v>53</v>
      </c>
    </row>
    <row r="289" spans="1:39" x14ac:dyDescent="0.3">
      <c r="A289" s="1">
        <v>54</v>
      </c>
      <c r="B289" s="2">
        <v>54</v>
      </c>
      <c r="D289" s="2">
        <v>0</v>
      </c>
      <c r="F289" s="2">
        <v>0</v>
      </c>
      <c r="H289" s="2">
        <v>42</v>
      </c>
      <c r="I289" s="3">
        <v>0</v>
      </c>
      <c r="J289" s="3">
        <v>0</v>
      </c>
      <c r="K289" s="4">
        <v>3</v>
      </c>
      <c r="L289" s="2">
        <v>126</v>
      </c>
      <c r="N289" s="6">
        <v>5.8</v>
      </c>
      <c r="O289" s="17">
        <v>126</v>
      </c>
      <c r="P289" s="7">
        <v>0</v>
      </c>
      <c r="Q289" s="84">
        <v>1</v>
      </c>
      <c r="R289" s="8">
        <v>0</v>
      </c>
      <c r="S289" s="8">
        <v>0</v>
      </c>
      <c r="Y289" s="12">
        <f>3/54</f>
        <v>5.5555555555555552E-2</v>
      </c>
      <c r="AI289" s="15" t="s">
        <v>302</v>
      </c>
      <c r="AJ289" s="15" t="s">
        <v>52</v>
      </c>
      <c r="AK289" s="15">
        <v>2007</v>
      </c>
      <c r="AL289" s="15" t="s">
        <v>53</v>
      </c>
    </row>
    <row r="290" spans="1:39" x14ac:dyDescent="0.3">
      <c r="A290" s="1">
        <v>72</v>
      </c>
      <c r="B290" s="2">
        <v>72</v>
      </c>
      <c r="D290" s="2">
        <v>2</v>
      </c>
      <c r="E290" s="2">
        <v>32</v>
      </c>
      <c r="F290" s="2">
        <v>0</v>
      </c>
      <c r="H290" s="2">
        <v>42</v>
      </c>
      <c r="I290" s="3">
        <v>0</v>
      </c>
      <c r="J290" s="3">
        <v>0</v>
      </c>
      <c r="K290" s="4">
        <v>3</v>
      </c>
      <c r="L290" s="2">
        <v>140</v>
      </c>
      <c r="N290" s="6">
        <v>5.8</v>
      </c>
      <c r="O290" s="17">
        <v>140</v>
      </c>
      <c r="P290" s="7">
        <f>65/72</f>
        <v>0.90277777777777779</v>
      </c>
      <c r="Q290" s="84">
        <v>1</v>
      </c>
      <c r="R290" s="8">
        <v>9.4978518369511189</v>
      </c>
      <c r="S290" s="8">
        <v>10.044770601933973</v>
      </c>
      <c r="Y290" s="12">
        <f>10/72</f>
        <v>0.1388888888888889</v>
      </c>
      <c r="AI290" s="15" t="s">
        <v>102</v>
      </c>
      <c r="AJ290" s="15" t="s">
        <v>52</v>
      </c>
      <c r="AK290" s="15">
        <v>2007</v>
      </c>
      <c r="AL290" s="15" t="s">
        <v>53</v>
      </c>
    </row>
    <row r="291" spans="1:39" x14ac:dyDescent="0.3">
      <c r="A291" s="1">
        <v>0</v>
      </c>
      <c r="B291" s="2">
        <v>110</v>
      </c>
      <c r="D291" s="2">
        <v>0</v>
      </c>
      <c r="F291" s="2">
        <v>0</v>
      </c>
      <c r="K291" s="4">
        <v>1</v>
      </c>
      <c r="L291" s="2">
        <v>540</v>
      </c>
      <c r="Y291" s="12">
        <v>1</v>
      </c>
      <c r="AB291" s="2">
        <v>38</v>
      </c>
      <c r="AC291" s="2">
        <v>520</v>
      </c>
      <c r="AH291" s="80" t="s">
        <v>402</v>
      </c>
      <c r="AI291" s="15" t="s">
        <v>413</v>
      </c>
      <c r="AJ291" s="15" t="s">
        <v>411</v>
      </c>
      <c r="AK291" s="15">
        <v>1957.02</v>
      </c>
      <c r="AL291" s="15" t="s">
        <v>412</v>
      </c>
      <c r="AM291" s="15" t="s">
        <v>442</v>
      </c>
    </row>
    <row r="292" spans="1:39" x14ac:dyDescent="0.3">
      <c r="A292" s="1">
        <v>30</v>
      </c>
      <c r="D292" s="2">
        <v>0</v>
      </c>
      <c r="F292" s="2">
        <v>0</v>
      </c>
      <c r="K292" s="4">
        <v>1</v>
      </c>
      <c r="L292" s="2">
        <v>1400</v>
      </c>
      <c r="M292" s="5">
        <v>20</v>
      </c>
      <c r="O292" s="17">
        <v>1400</v>
      </c>
      <c r="P292" s="7">
        <v>1</v>
      </c>
      <c r="Q292" s="84">
        <v>0</v>
      </c>
      <c r="AI292" s="15" t="s">
        <v>444</v>
      </c>
      <c r="AJ292" s="15" t="s">
        <v>411</v>
      </c>
      <c r="AK292" s="15">
        <v>1959.06</v>
      </c>
      <c r="AL292" s="15" t="s">
        <v>412</v>
      </c>
      <c r="AM292" s="15" t="s">
        <v>440</v>
      </c>
    </row>
    <row r="293" spans="1:39" x14ac:dyDescent="0.3">
      <c r="A293" s="1">
        <v>30</v>
      </c>
      <c r="D293" s="2">
        <v>1</v>
      </c>
      <c r="E293" s="2">
        <v>20</v>
      </c>
      <c r="F293" s="2">
        <v>0</v>
      </c>
      <c r="K293" s="4">
        <v>1</v>
      </c>
      <c r="L293" s="2">
        <f>4*365</f>
        <v>1460</v>
      </c>
      <c r="M293" s="5">
        <v>20</v>
      </c>
      <c r="Q293" s="84">
        <v>0</v>
      </c>
      <c r="W293" s="10">
        <v>1</v>
      </c>
      <c r="X293" s="11">
        <v>1490</v>
      </c>
      <c r="AI293" s="81" t="s">
        <v>444</v>
      </c>
      <c r="AJ293" s="15" t="s">
        <v>411</v>
      </c>
      <c r="AK293" s="15">
        <v>1959.06</v>
      </c>
      <c r="AL293" s="15" t="s">
        <v>412</v>
      </c>
      <c r="AM293" s="15" t="s">
        <v>440</v>
      </c>
    </row>
    <row r="294" spans="1:39" x14ac:dyDescent="0.3">
      <c r="A294" s="1">
        <v>30</v>
      </c>
      <c r="D294" s="2">
        <v>2</v>
      </c>
      <c r="E294" s="2">
        <v>20</v>
      </c>
      <c r="F294" s="2">
        <v>0</v>
      </c>
      <c r="K294" s="4">
        <v>1</v>
      </c>
      <c r="L294" s="2">
        <f>5*365</f>
        <v>1825</v>
      </c>
      <c r="M294" s="5">
        <v>20</v>
      </c>
      <c r="O294" s="17">
        <f>4*365+30</f>
        <v>1490</v>
      </c>
      <c r="P294" s="7">
        <v>1</v>
      </c>
      <c r="Q294" s="84">
        <v>0</v>
      </c>
      <c r="W294" s="10">
        <v>1</v>
      </c>
      <c r="X294" s="11">
        <f>L294+30</f>
        <v>1855</v>
      </c>
      <c r="AI294" s="81" t="s">
        <v>444</v>
      </c>
      <c r="AJ294" s="15" t="s">
        <v>411</v>
      </c>
      <c r="AK294" s="15">
        <v>1959.06</v>
      </c>
      <c r="AL294" s="15" t="s">
        <v>412</v>
      </c>
      <c r="AM294" s="15" t="s">
        <v>440</v>
      </c>
    </row>
    <row r="295" spans="1:39" x14ac:dyDescent="0.3">
      <c r="A295" s="1">
        <v>40</v>
      </c>
      <c r="D295" s="2">
        <v>0</v>
      </c>
      <c r="F295" s="2">
        <v>0</v>
      </c>
      <c r="K295" s="4">
        <v>1</v>
      </c>
      <c r="L295" s="2">
        <v>1400</v>
      </c>
      <c r="M295" s="5">
        <v>20</v>
      </c>
      <c r="O295" s="17">
        <v>1400</v>
      </c>
      <c r="P295" s="7">
        <v>1</v>
      </c>
      <c r="Q295" s="84">
        <v>0</v>
      </c>
      <c r="AI295" s="81" t="s">
        <v>449</v>
      </c>
      <c r="AJ295" s="15" t="s">
        <v>411</v>
      </c>
      <c r="AK295" s="15">
        <v>1959.06</v>
      </c>
      <c r="AL295" s="15" t="s">
        <v>412</v>
      </c>
      <c r="AM295" s="15" t="s">
        <v>440</v>
      </c>
    </row>
    <row r="296" spans="1:39" x14ac:dyDescent="0.3">
      <c r="A296" s="1">
        <v>40</v>
      </c>
      <c r="D296" s="2">
        <v>1</v>
      </c>
      <c r="E296" s="2">
        <v>20</v>
      </c>
      <c r="F296" s="2">
        <v>0</v>
      </c>
      <c r="K296" s="4">
        <v>1</v>
      </c>
      <c r="L296" s="2">
        <f>4*365</f>
        <v>1460</v>
      </c>
      <c r="M296" s="5">
        <v>20</v>
      </c>
      <c r="Q296" s="84">
        <v>0</v>
      </c>
      <c r="W296" s="10">
        <v>1</v>
      </c>
      <c r="X296" s="11">
        <v>1490</v>
      </c>
      <c r="AI296" s="81" t="s">
        <v>449</v>
      </c>
      <c r="AJ296" s="15" t="s">
        <v>411</v>
      </c>
      <c r="AK296" s="15">
        <v>1959.06</v>
      </c>
      <c r="AL296" s="15" t="s">
        <v>412</v>
      </c>
      <c r="AM296" s="15" t="s">
        <v>440</v>
      </c>
    </row>
    <row r="297" spans="1:39" x14ac:dyDescent="0.3">
      <c r="A297" s="1">
        <v>40</v>
      </c>
      <c r="D297" s="2">
        <v>2</v>
      </c>
      <c r="E297" s="2">
        <v>20</v>
      </c>
      <c r="F297" s="2">
        <v>0</v>
      </c>
      <c r="K297" s="4">
        <v>1</v>
      </c>
      <c r="L297" s="2">
        <f>5*365</f>
        <v>1825</v>
      </c>
      <c r="M297" s="5">
        <v>20</v>
      </c>
      <c r="O297" s="17">
        <f>4*365+30</f>
        <v>1490</v>
      </c>
      <c r="P297" s="7">
        <v>1</v>
      </c>
      <c r="Q297" s="84">
        <v>0</v>
      </c>
      <c r="W297" s="10">
        <v>1</v>
      </c>
      <c r="X297" s="11">
        <f>L297+30</f>
        <v>1855</v>
      </c>
      <c r="AI297" s="81" t="s">
        <v>449</v>
      </c>
      <c r="AJ297" s="15" t="s">
        <v>411</v>
      </c>
      <c r="AK297" s="15">
        <v>1959.06</v>
      </c>
      <c r="AL297" s="15" t="s">
        <v>412</v>
      </c>
      <c r="AM297" s="15" t="s">
        <v>440</v>
      </c>
    </row>
    <row r="298" spans="1:39" x14ac:dyDescent="0.3">
      <c r="A298" s="1">
        <v>30</v>
      </c>
      <c r="D298" s="2">
        <v>0</v>
      </c>
      <c r="F298" s="2">
        <v>0</v>
      </c>
      <c r="K298" s="4">
        <v>1</v>
      </c>
      <c r="L298" s="2">
        <v>1400</v>
      </c>
      <c r="M298" s="5">
        <v>20</v>
      </c>
      <c r="O298" s="17">
        <v>1400</v>
      </c>
      <c r="P298" s="7">
        <v>1</v>
      </c>
      <c r="Q298" s="84">
        <v>0</v>
      </c>
      <c r="AI298" s="81" t="s">
        <v>448</v>
      </c>
      <c r="AJ298" s="15" t="s">
        <v>411</v>
      </c>
      <c r="AK298" s="15">
        <v>1959.06</v>
      </c>
      <c r="AL298" s="15" t="s">
        <v>412</v>
      </c>
      <c r="AM298" s="15" t="s">
        <v>440</v>
      </c>
    </row>
    <row r="299" spans="1:39" x14ac:dyDescent="0.3">
      <c r="A299" s="1">
        <v>30</v>
      </c>
      <c r="D299" s="2">
        <v>1</v>
      </c>
      <c r="E299" s="2">
        <v>20</v>
      </c>
      <c r="F299" s="2">
        <v>0</v>
      </c>
      <c r="K299" s="4">
        <v>1</v>
      </c>
      <c r="L299" s="2">
        <f>4*365</f>
        <v>1460</v>
      </c>
      <c r="M299" s="5">
        <v>20</v>
      </c>
      <c r="Q299" s="84">
        <v>0</v>
      </c>
      <c r="W299" s="10">
        <v>1</v>
      </c>
      <c r="X299" s="11">
        <v>1490</v>
      </c>
      <c r="AI299" s="15" t="s">
        <v>448</v>
      </c>
      <c r="AJ299" s="15" t="s">
        <v>411</v>
      </c>
      <c r="AK299" s="15">
        <v>1959.06</v>
      </c>
      <c r="AL299" s="15" t="s">
        <v>412</v>
      </c>
      <c r="AM299" s="15" t="s">
        <v>440</v>
      </c>
    </row>
    <row r="300" spans="1:39" x14ac:dyDescent="0.3">
      <c r="A300" s="1">
        <v>30</v>
      </c>
      <c r="D300" s="2">
        <v>2</v>
      </c>
      <c r="E300" s="2">
        <v>20</v>
      </c>
      <c r="F300" s="2">
        <v>0</v>
      </c>
      <c r="K300" s="4">
        <v>1</v>
      </c>
      <c r="L300" s="2">
        <f>5*365</f>
        <v>1825</v>
      </c>
      <c r="M300" s="5">
        <v>20</v>
      </c>
      <c r="O300" s="17">
        <f>4*365+30</f>
        <v>1490</v>
      </c>
      <c r="P300" s="7">
        <v>1</v>
      </c>
      <c r="Q300" s="84">
        <v>0</v>
      </c>
      <c r="W300" s="10">
        <v>1</v>
      </c>
      <c r="X300" s="11">
        <f>L300+30</f>
        <v>1855</v>
      </c>
      <c r="AI300" s="15" t="s">
        <v>448</v>
      </c>
      <c r="AJ300" s="15" t="s">
        <v>411</v>
      </c>
      <c r="AK300" s="15">
        <v>1959.06</v>
      </c>
      <c r="AL300" s="15" t="s">
        <v>412</v>
      </c>
      <c r="AM300" s="15" t="s">
        <v>440</v>
      </c>
    </row>
    <row r="301" spans="1:39" x14ac:dyDescent="0.3">
      <c r="A301" s="1">
        <v>29</v>
      </c>
      <c r="D301" s="2">
        <v>0</v>
      </c>
      <c r="F301" s="2">
        <v>0</v>
      </c>
      <c r="K301" s="4">
        <v>1</v>
      </c>
      <c r="L301" s="2">
        <v>1400</v>
      </c>
      <c r="M301" s="5">
        <v>20</v>
      </c>
      <c r="O301" s="17">
        <v>1400</v>
      </c>
      <c r="P301" s="7">
        <v>0</v>
      </c>
      <c r="Q301" s="84">
        <v>0</v>
      </c>
      <c r="AI301" s="15" t="s">
        <v>445</v>
      </c>
      <c r="AJ301" s="15" t="s">
        <v>411</v>
      </c>
      <c r="AK301" s="15">
        <v>1959.06</v>
      </c>
      <c r="AL301" s="15" t="s">
        <v>412</v>
      </c>
      <c r="AM301" s="15" t="s">
        <v>440</v>
      </c>
    </row>
    <row r="302" spans="1:39" x14ac:dyDescent="0.3">
      <c r="A302" s="1">
        <v>29</v>
      </c>
      <c r="D302" s="2">
        <v>1</v>
      </c>
      <c r="E302" s="2">
        <v>20</v>
      </c>
      <c r="F302" s="2">
        <v>0</v>
      </c>
      <c r="K302" s="4">
        <v>1</v>
      </c>
      <c r="L302" s="2">
        <f>4*365</f>
        <v>1460</v>
      </c>
      <c r="M302" s="5">
        <v>20</v>
      </c>
      <c r="Q302" s="84">
        <v>0</v>
      </c>
      <c r="T302" s="9">
        <v>5</v>
      </c>
      <c r="U302" s="9">
        <v>5.4</v>
      </c>
      <c r="W302" s="10">
        <v>0.79</v>
      </c>
      <c r="X302" s="11">
        <v>1490</v>
      </c>
      <c r="AI302" s="15" t="s">
        <v>445</v>
      </c>
      <c r="AJ302" s="15" t="s">
        <v>411</v>
      </c>
      <c r="AK302" s="15">
        <v>1959.06</v>
      </c>
      <c r="AL302" s="15" t="s">
        <v>412</v>
      </c>
      <c r="AM302" s="15" t="s">
        <v>440</v>
      </c>
    </row>
    <row r="303" spans="1:39" x14ac:dyDescent="0.3">
      <c r="A303" s="1">
        <v>29</v>
      </c>
      <c r="D303" s="2">
        <v>2</v>
      </c>
      <c r="E303" s="2">
        <v>20</v>
      </c>
      <c r="F303" s="2">
        <v>0</v>
      </c>
      <c r="K303" s="4">
        <v>1</v>
      </c>
      <c r="L303" s="2">
        <f>5*365</f>
        <v>1825</v>
      </c>
      <c r="M303" s="5">
        <v>20</v>
      </c>
      <c r="O303" s="17">
        <f>4*365+30</f>
        <v>1490</v>
      </c>
      <c r="P303" s="7">
        <v>0.79</v>
      </c>
      <c r="Q303" s="84">
        <v>0</v>
      </c>
      <c r="R303" s="8">
        <v>5</v>
      </c>
      <c r="S303" s="8">
        <v>5.4</v>
      </c>
      <c r="T303" s="9">
        <v>8</v>
      </c>
      <c r="U303" s="9">
        <v>3.9</v>
      </c>
      <c r="W303" s="10">
        <v>1</v>
      </c>
      <c r="X303" s="11">
        <f>L303+30</f>
        <v>1855</v>
      </c>
      <c r="AI303" s="15" t="s">
        <v>445</v>
      </c>
      <c r="AJ303" s="15" t="s">
        <v>411</v>
      </c>
      <c r="AK303" s="15">
        <v>1959.06</v>
      </c>
      <c r="AL303" s="15" t="s">
        <v>412</v>
      </c>
      <c r="AM303" s="15" t="s">
        <v>440</v>
      </c>
    </row>
    <row r="304" spans="1:39" x14ac:dyDescent="0.3">
      <c r="A304" s="1">
        <v>30</v>
      </c>
      <c r="D304" s="2">
        <v>0</v>
      </c>
      <c r="F304" s="2">
        <v>0</v>
      </c>
      <c r="K304" s="4">
        <v>1</v>
      </c>
      <c r="L304" s="2">
        <v>1400</v>
      </c>
      <c r="M304" s="5">
        <v>20</v>
      </c>
      <c r="O304" s="17">
        <v>1400</v>
      </c>
      <c r="P304" s="7">
        <v>0</v>
      </c>
      <c r="Q304" s="84">
        <v>0</v>
      </c>
      <c r="AI304" s="15" t="s">
        <v>447</v>
      </c>
      <c r="AJ304" s="15" t="s">
        <v>411</v>
      </c>
      <c r="AK304" s="15">
        <v>1959.06</v>
      </c>
      <c r="AL304" s="15" t="s">
        <v>412</v>
      </c>
      <c r="AM304" s="15" t="s">
        <v>440</v>
      </c>
    </row>
    <row r="305" spans="1:39" x14ac:dyDescent="0.3">
      <c r="A305" s="1">
        <v>30</v>
      </c>
      <c r="D305" s="2">
        <v>1</v>
      </c>
      <c r="E305" s="2">
        <v>20</v>
      </c>
      <c r="F305" s="2">
        <v>0</v>
      </c>
      <c r="K305" s="4">
        <v>1</v>
      </c>
      <c r="L305" s="2">
        <f>4*365</f>
        <v>1460</v>
      </c>
      <c r="M305" s="5">
        <v>20</v>
      </c>
      <c r="Q305" s="84">
        <v>0</v>
      </c>
      <c r="T305" s="9">
        <v>5</v>
      </c>
      <c r="U305" s="9">
        <v>4.2</v>
      </c>
      <c r="W305" s="10">
        <v>0.83</v>
      </c>
      <c r="X305" s="11">
        <v>1490</v>
      </c>
      <c r="AI305" s="15" t="s">
        <v>447</v>
      </c>
      <c r="AJ305" s="15" t="s">
        <v>411</v>
      </c>
      <c r="AK305" s="15">
        <v>1959.06</v>
      </c>
      <c r="AL305" s="15" t="s">
        <v>412</v>
      </c>
      <c r="AM305" s="15" t="s">
        <v>440</v>
      </c>
    </row>
    <row r="306" spans="1:39" x14ac:dyDescent="0.3">
      <c r="A306" s="1">
        <v>30</v>
      </c>
      <c r="D306" s="2">
        <v>2</v>
      </c>
      <c r="E306" s="2">
        <v>20</v>
      </c>
      <c r="F306" s="2">
        <v>0</v>
      </c>
      <c r="K306" s="4">
        <v>1</v>
      </c>
      <c r="L306" s="2">
        <f>5*365</f>
        <v>1825</v>
      </c>
      <c r="M306" s="5">
        <v>20</v>
      </c>
      <c r="O306" s="17">
        <f>4*365+30</f>
        <v>1490</v>
      </c>
      <c r="P306" s="7">
        <v>0.83</v>
      </c>
      <c r="Q306" s="84">
        <v>0</v>
      </c>
      <c r="R306" s="8">
        <v>5</v>
      </c>
      <c r="S306" s="8">
        <v>4.2</v>
      </c>
      <c r="T306" s="9">
        <v>7.7</v>
      </c>
      <c r="U306" s="9">
        <v>2.6</v>
      </c>
      <c r="W306" s="10">
        <v>1</v>
      </c>
      <c r="X306" s="11">
        <f>L306+30</f>
        <v>1855</v>
      </c>
      <c r="AI306" s="15" t="s">
        <v>447</v>
      </c>
      <c r="AJ306" s="15" t="s">
        <v>411</v>
      </c>
      <c r="AK306" s="15">
        <v>1959.06</v>
      </c>
      <c r="AL306" s="15" t="s">
        <v>412</v>
      </c>
      <c r="AM306" s="15" t="s">
        <v>440</v>
      </c>
    </row>
    <row r="307" spans="1:39" x14ac:dyDescent="0.3">
      <c r="A307" s="1">
        <v>54</v>
      </c>
      <c r="D307" s="2">
        <v>0</v>
      </c>
      <c r="F307" s="2">
        <v>0</v>
      </c>
      <c r="K307" s="4">
        <v>1</v>
      </c>
      <c r="L307" s="2">
        <v>1400</v>
      </c>
      <c r="M307" s="5">
        <v>20</v>
      </c>
      <c r="O307" s="17">
        <v>1400</v>
      </c>
      <c r="P307" s="7">
        <v>0</v>
      </c>
      <c r="Q307" s="84">
        <v>0</v>
      </c>
      <c r="AI307" s="15" t="s">
        <v>446</v>
      </c>
      <c r="AJ307" s="15" t="s">
        <v>411</v>
      </c>
      <c r="AK307" s="15">
        <v>1959.06</v>
      </c>
      <c r="AL307" s="15" t="s">
        <v>412</v>
      </c>
      <c r="AM307" s="15" t="s">
        <v>440</v>
      </c>
    </row>
    <row r="308" spans="1:39" x14ac:dyDescent="0.3">
      <c r="A308" s="1">
        <v>54</v>
      </c>
      <c r="D308" s="2">
        <v>1</v>
      </c>
      <c r="E308" s="2">
        <v>20</v>
      </c>
      <c r="F308" s="2">
        <v>0</v>
      </c>
      <c r="K308" s="4">
        <v>1</v>
      </c>
      <c r="L308" s="2">
        <f>4*365</f>
        <v>1460</v>
      </c>
      <c r="M308" s="5">
        <v>20</v>
      </c>
      <c r="Q308" s="84">
        <v>0</v>
      </c>
      <c r="T308" s="9">
        <v>3.1</v>
      </c>
      <c r="U308" s="9">
        <v>2.5</v>
      </c>
      <c r="W308" s="10">
        <v>0.54</v>
      </c>
      <c r="X308" s="11">
        <v>1490</v>
      </c>
      <c r="AI308" s="15" t="s">
        <v>446</v>
      </c>
      <c r="AJ308" s="15" t="s">
        <v>411</v>
      </c>
      <c r="AK308" s="15">
        <v>1959.06</v>
      </c>
      <c r="AL308" s="15" t="s">
        <v>412</v>
      </c>
      <c r="AM308" s="15" t="s">
        <v>440</v>
      </c>
    </row>
    <row r="309" spans="1:39" x14ac:dyDescent="0.3">
      <c r="A309" s="1">
        <v>54</v>
      </c>
      <c r="D309" s="2">
        <v>2</v>
      </c>
      <c r="E309" s="2">
        <v>20</v>
      </c>
      <c r="F309" s="2">
        <v>0</v>
      </c>
      <c r="K309" s="4">
        <v>1</v>
      </c>
      <c r="L309" s="2">
        <f>5*365</f>
        <v>1825</v>
      </c>
      <c r="M309" s="5">
        <v>20</v>
      </c>
      <c r="O309" s="17">
        <f>4*365+30</f>
        <v>1490</v>
      </c>
      <c r="P309" s="7">
        <v>0.54</v>
      </c>
      <c r="Q309" s="84">
        <v>0</v>
      </c>
      <c r="R309" s="8">
        <v>3.1</v>
      </c>
      <c r="S309" s="8">
        <v>2.5</v>
      </c>
      <c r="T309" s="9">
        <v>8.3000000000000007</v>
      </c>
      <c r="U309" s="9">
        <v>6.7</v>
      </c>
      <c r="W309" s="10">
        <v>0.95</v>
      </c>
      <c r="X309" s="11">
        <f>L309+30</f>
        <v>1855</v>
      </c>
      <c r="AI309" s="15" t="s">
        <v>446</v>
      </c>
      <c r="AJ309" s="15" t="s">
        <v>411</v>
      </c>
      <c r="AK309" s="15">
        <v>1959.06</v>
      </c>
      <c r="AL309" s="15" t="s">
        <v>412</v>
      </c>
      <c r="AM309" s="15" t="s">
        <v>440</v>
      </c>
    </row>
    <row r="310" spans="1:39" x14ac:dyDescent="0.3">
      <c r="A310" s="1">
        <v>156</v>
      </c>
      <c r="D310" s="2">
        <v>0</v>
      </c>
      <c r="F310" s="2">
        <v>0</v>
      </c>
      <c r="K310" s="4">
        <v>1</v>
      </c>
      <c r="L310" s="2">
        <v>1400</v>
      </c>
      <c r="M310" s="5">
        <v>20</v>
      </c>
      <c r="O310" s="17">
        <v>1400</v>
      </c>
      <c r="P310" s="7">
        <v>0</v>
      </c>
      <c r="Q310" s="84">
        <v>0</v>
      </c>
      <c r="AI310" s="15" t="s">
        <v>443</v>
      </c>
      <c r="AJ310" s="15" t="s">
        <v>411</v>
      </c>
      <c r="AK310" s="15">
        <v>1959.06</v>
      </c>
      <c r="AL310" s="15" t="s">
        <v>412</v>
      </c>
      <c r="AM310" s="15" t="s">
        <v>440</v>
      </c>
    </row>
    <row r="311" spans="1:39" s="82" customFormat="1" x14ac:dyDescent="0.3">
      <c r="A311" s="67">
        <v>156</v>
      </c>
      <c r="B311" s="68"/>
      <c r="C311" s="68"/>
      <c r="D311" s="68">
        <v>1</v>
      </c>
      <c r="E311" s="68">
        <v>20</v>
      </c>
      <c r="F311" s="68">
        <v>0</v>
      </c>
      <c r="G311" s="69"/>
      <c r="H311" s="68"/>
      <c r="I311" s="69"/>
      <c r="J311" s="69"/>
      <c r="K311" s="70">
        <v>1</v>
      </c>
      <c r="L311" s="68">
        <v>1400</v>
      </c>
      <c r="M311" s="71">
        <v>20</v>
      </c>
      <c r="N311" s="72"/>
      <c r="O311" s="84"/>
      <c r="P311" s="73"/>
      <c r="Q311" s="84">
        <v>0</v>
      </c>
      <c r="R311" s="74"/>
      <c r="S311" s="74"/>
      <c r="T311" s="75">
        <v>2.2000000000000002</v>
      </c>
      <c r="U311" s="75">
        <v>2.9</v>
      </c>
      <c r="V311" s="76"/>
      <c r="W311" s="76">
        <v>0.32</v>
      </c>
      <c r="X311" s="77">
        <v>1490</v>
      </c>
      <c r="Y311" s="78"/>
      <c r="Z311" s="79"/>
      <c r="AA311" s="69"/>
      <c r="AB311" s="68"/>
      <c r="AC311" s="68"/>
      <c r="AD311" s="68"/>
      <c r="AE311" s="80"/>
      <c r="AF311" s="80"/>
      <c r="AG311" s="80"/>
      <c r="AH311" s="80"/>
      <c r="AI311" s="81" t="s">
        <v>443</v>
      </c>
      <c r="AJ311" s="81" t="s">
        <v>411</v>
      </c>
      <c r="AK311" s="81">
        <v>1959.06</v>
      </c>
      <c r="AL311" s="81" t="s">
        <v>412</v>
      </c>
      <c r="AM311" s="81" t="s">
        <v>440</v>
      </c>
    </row>
    <row r="312" spans="1:39" s="82" customFormat="1" x14ac:dyDescent="0.3">
      <c r="A312" s="67">
        <v>156</v>
      </c>
      <c r="B312" s="68"/>
      <c r="C312" s="68"/>
      <c r="D312" s="68">
        <v>2</v>
      </c>
      <c r="E312" s="68">
        <v>20</v>
      </c>
      <c r="F312" s="68">
        <v>0</v>
      </c>
      <c r="G312" s="69"/>
      <c r="H312" s="68"/>
      <c r="I312" s="69"/>
      <c r="J312" s="69"/>
      <c r="K312" s="70">
        <v>1</v>
      </c>
      <c r="L312" s="68">
        <f>5*365</f>
        <v>1825</v>
      </c>
      <c r="M312" s="71">
        <v>20</v>
      </c>
      <c r="N312" s="72"/>
      <c r="O312" s="84">
        <f>4*365+30</f>
        <v>1490</v>
      </c>
      <c r="P312" s="73">
        <v>0.32</v>
      </c>
      <c r="Q312" s="84">
        <v>0</v>
      </c>
      <c r="R312" s="74">
        <v>2.2000000000000002</v>
      </c>
      <c r="S312" s="74">
        <v>2.9</v>
      </c>
      <c r="T312" s="75">
        <v>5.6</v>
      </c>
      <c r="U312" s="75">
        <v>10.9</v>
      </c>
      <c r="V312" s="76"/>
      <c r="W312" s="76">
        <v>0.75</v>
      </c>
      <c r="X312" s="77">
        <f>L312+30</f>
        <v>1855</v>
      </c>
      <c r="Y312" s="78"/>
      <c r="Z312" s="79"/>
      <c r="AA312" s="69"/>
      <c r="AB312" s="68"/>
      <c r="AC312" s="68"/>
      <c r="AD312" s="68"/>
      <c r="AE312" s="80"/>
      <c r="AF312" s="80"/>
      <c r="AG312" s="80"/>
      <c r="AH312" s="80"/>
      <c r="AI312" s="81" t="s">
        <v>443</v>
      </c>
      <c r="AJ312" s="81" t="s">
        <v>411</v>
      </c>
      <c r="AK312" s="81">
        <v>1959.06</v>
      </c>
      <c r="AL312" s="81" t="s">
        <v>412</v>
      </c>
      <c r="AM312" s="81" t="s">
        <v>440</v>
      </c>
    </row>
    <row r="313" spans="1:39" s="82" customFormat="1" x14ac:dyDescent="0.3">
      <c r="A313" s="67">
        <v>30</v>
      </c>
      <c r="B313" s="68"/>
      <c r="C313" s="68"/>
      <c r="D313" s="68">
        <v>0</v>
      </c>
      <c r="E313" s="68"/>
      <c r="F313" s="68">
        <v>0</v>
      </c>
      <c r="G313" s="69"/>
      <c r="H313" s="68"/>
      <c r="I313" s="69"/>
      <c r="J313" s="69"/>
      <c r="K313" s="70">
        <v>2</v>
      </c>
      <c r="L313" s="68">
        <v>1400</v>
      </c>
      <c r="M313" s="71">
        <v>2</v>
      </c>
      <c r="N313" s="72"/>
      <c r="O313" s="84">
        <v>1400</v>
      </c>
      <c r="P313" s="73">
        <v>0</v>
      </c>
      <c r="Q313" s="84">
        <v>0</v>
      </c>
      <c r="R313" s="74"/>
      <c r="S313" s="74"/>
      <c r="T313" s="75"/>
      <c r="U313" s="75"/>
      <c r="V313" s="76"/>
      <c r="W313" s="76"/>
      <c r="X313" s="77"/>
      <c r="Y313" s="78"/>
      <c r="Z313" s="79"/>
      <c r="AA313" s="69"/>
      <c r="AB313" s="68"/>
      <c r="AC313" s="68"/>
      <c r="AD313" s="68"/>
      <c r="AE313" s="80"/>
      <c r="AF313" s="80"/>
      <c r="AG313" s="80"/>
      <c r="AH313" s="80"/>
      <c r="AI313" s="81" t="s">
        <v>444</v>
      </c>
      <c r="AJ313" s="81" t="s">
        <v>411</v>
      </c>
      <c r="AK313" s="81">
        <v>1959.06</v>
      </c>
      <c r="AL313" s="81" t="s">
        <v>412</v>
      </c>
      <c r="AM313" s="81" t="s">
        <v>440</v>
      </c>
    </row>
    <row r="314" spans="1:39" s="82" customFormat="1" x14ac:dyDescent="0.3">
      <c r="A314" s="67">
        <v>30</v>
      </c>
      <c r="B314" s="68"/>
      <c r="C314" s="68"/>
      <c r="D314" s="68">
        <v>1</v>
      </c>
      <c r="E314" s="68">
        <v>2</v>
      </c>
      <c r="F314" s="68">
        <v>0</v>
      </c>
      <c r="G314" s="69"/>
      <c r="H314" s="68"/>
      <c r="I314" s="69"/>
      <c r="J314" s="69"/>
      <c r="K314" s="70">
        <v>2</v>
      </c>
      <c r="L314" s="68">
        <f>4*365</f>
        <v>1460</v>
      </c>
      <c r="M314" s="71">
        <v>2</v>
      </c>
      <c r="N314" s="72"/>
      <c r="O314" s="84"/>
      <c r="P314" s="73"/>
      <c r="Q314" s="84">
        <v>0</v>
      </c>
      <c r="R314" s="74"/>
      <c r="S314" s="74"/>
      <c r="T314" s="75">
        <v>5.0999999999999996</v>
      </c>
      <c r="U314" s="75">
        <v>3.2</v>
      </c>
      <c r="V314" s="76"/>
      <c r="W314" s="76">
        <v>0.93</v>
      </c>
      <c r="X314" s="77">
        <v>1490</v>
      </c>
      <c r="Y314" s="78"/>
      <c r="Z314" s="79"/>
      <c r="AA314" s="69"/>
      <c r="AB314" s="68"/>
      <c r="AC314" s="68"/>
      <c r="AD314" s="68"/>
      <c r="AE314" s="80"/>
      <c r="AF314" s="80"/>
      <c r="AG314" s="80"/>
      <c r="AH314" s="80"/>
      <c r="AI314" s="81" t="s">
        <v>444</v>
      </c>
      <c r="AJ314" s="81" t="s">
        <v>411</v>
      </c>
      <c r="AK314" s="81">
        <v>1959.06</v>
      </c>
      <c r="AL314" s="81" t="s">
        <v>412</v>
      </c>
      <c r="AM314" s="81" t="s">
        <v>440</v>
      </c>
    </row>
    <row r="315" spans="1:39" s="82" customFormat="1" x14ac:dyDescent="0.3">
      <c r="A315" s="67">
        <v>30</v>
      </c>
      <c r="B315" s="68"/>
      <c r="C315" s="68"/>
      <c r="D315" s="68">
        <v>2</v>
      </c>
      <c r="E315" s="68">
        <v>2</v>
      </c>
      <c r="F315" s="68">
        <v>0</v>
      </c>
      <c r="G315" s="69"/>
      <c r="H315" s="68"/>
      <c r="I315" s="69"/>
      <c r="J315" s="69"/>
      <c r="K315" s="70">
        <v>2</v>
      </c>
      <c r="L315" s="68">
        <f>5*365</f>
        <v>1825</v>
      </c>
      <c r="M315" s="71">
        <v>2</v>
      </c>
      <c r="N315" s="72"/>
      <c r="O315" s="84">
        <f>4*365+30</f>
        <v>1490</v>
      </c>
      <c r="P315" s="73">
        <v>0.93</v>
      </c>
      <c r="Q315" s="84">
        <v>0</v>
      </c>
      <c r="R315" s="74">
        <v>5.0999999999999996</v>
      </c>
      <c r="S315" s="74">
        <v>3.2</v>
      </c>
      <c r="T315" s="75">
        <v>8.5</v>
      </c>
      <c r="U315" s="75">
        <v>2.7</v>
      </c>
      <c r="V315" s="76"/>
      <c r="W315" s="76">
        <v>1</v>
      </c>
      <c r="X315" s="77">
        <f>L315+30</f>
        <v>1855</v>
      </c>
      <c r="Y315" s="78"/>
      <c r="Z315" s="79"/>
      <c r="AA315" s="69"/>
      <c r="AB315" s="68"/>
      <c r="AC315" s="68"/>
      <c r="AD315" s="68"/>
      <c r="AE315" s="80"/>
      <c r="AF315" s="80"/>
      <c r="AG315" s="80"/>
      <c r="AH315" s="80"/>
      <c r="AI315" s="81" t="s">
        <v>444</v>
      </c>
      <c r="AJ315" s="81" t="s">
        <v>411</v>
      </c>
      <c r="AK315" s="81">
        <v>1959.06</v>
      </c>
      <c r="AL315" s="81" t="s">
        <v>412</v>
      </c>
      <c r="AM315" s="81" t="s">
        <v>440</v>
      </c>
    </row>
    <row r="316" spans="1:39" s="82" customFormat="1" x14ac:dyDescent="0.3">
      <c r="A316" s="67">
        <v>40</v>
      </c>
      <c r="B316" s="68"/>
      <c r="C316" s="68"/>
      <c r="D316" s="68">
        <v>0</v>
      </c>
      <c r="E316" s="68"/>
      <c r="F316" s="68">
        <v>0</v>
      </c>
      <c r="G316" s="69"/>
      <c r="H316" s="68"/>
      <c r="I316" s="69"/>
      <c r="J316" s="69"/>
      <c r="K316" s="70">
        <v>2</v>
      </c>
      <c r="L316" s="68">
        <v>1400</v>
      </c>
      <c r="M316" s="71">
        <v>2</v>
      </c>
      <c r="N316" s="72"/>
      <c r="O316" s="84">
        <v>1400</v>
      </c>
      <c r="P316" s="73">
        <v>1</v>
      </c>
      <c r="Q316" s="84">
        <v>0</v>
      </c>
      <c r="R316" s="74"/>
      <c r="S316" s="74"/>
      <c r="T316" s="75"/>
      <c r="U316" s="75"/>
      <c r="V316" s="76"/>
      <c r="W316" s="76"/>
      <c r="X316" s="77"/>
      <c r="Y316" s="78"/>
      <c r="Z316" s="79"/>
      <c r="AA316" s="69"/>
      <c r="AB316" s="68"/>
      <c r="AC316" s="68"/>
      <c r="AD316" s="68"/>
      <c r="AE316" s="80"/>
      <c r="AF316" s="80"/>
      <c r="AG316" s="80"/>
      <c r="AH316" s="80"/>
      <c r="AI316" s="81" t="s">
        <v>449</v>
      </c>
      <c r="AJ316" s="81" t="s">
        <v>411</v>
      </c>
      <c r="AK316" s="81">
        <v>1959.06</v>
      </c>
      <c r="AL316" s="81" t="s">
        <v>412</v>
      </c>
      <c r="AM316" s="81" t="s">
        <v>440</v>
      </c>
    </row>
    <row r="317" spans="1:39" x14ac:dyDescent="0.3">
      <c r="A317" s="1">
        <v>40</v>
      </c>
      <c r="D317" s="2">
        <v>1</v>
      </c>
      <c r="E317" s="2">
        <v>2</v>
      </c>
      <c r="F317" s="2">
        <v>0</v>
      </c>
      <c r="K317" s="4">
        <v>2</v>
      </c>
      <c r="L317" s="2">
        <f>4*365</f>
        <v>1460</v>
      </c>
      <c r="M317" s="5">
        <v>2</v>
      </c>
      <c r="Q317" s="84">
        <v>0</v>
      </c>
      <c r="W317" s="10">
        <v>1</v>
      </c>
      <c r="X317" s="11">
        <v>1490</v>
      </c>
      <c r="AI317" s="15" t="s">
        <v>449</v>
      </c>
      <c r="AJ317" s="15" t="s">
        <v>411</v>
      </c>
      <c r="AK317" s="15">
        <v>1959.06</v>
      </c>
      <c r="AL317" s="15" t="s">
        <v>412</v>
      </c>
      <c r="AM317" s="15" t="s">
        <v>440</v>
      </c>
    </row>
    <row r="318" spans="1:39" x14ac:dyDescent="0.3">
      <c r="A318" s="1">
        <v>40</v>
      </c>
      <c r="D318" s="2">
        <v>2</v>
      </c>
      <c r="E318" s="2">
        <v>2</v>
      </c>
      <c r="F318" s="2">
        <v>0</v>
      </c>
      <c r="K318" s="4">
        <v>2</v>
      </c>
      <c r="L318" s="2">
        <f>5*365</f>
        <v>1825</v>
      </c>
      <c r="M318" s="5">
        <v>2</v>
      </c>
      <c r="O318" s="17">
        <f>4*365+30</f>
        <v>1490</v>
      </c>
      <c r="P318" s="7">
        <v>1</v>
      </c>
      <c r="Q318" s="84">
        <v>0</v>
      </c>
      <c r="W318" s="10">
        <v>1</v>
      </c>
      <c r="X318" s="11">
        <f>L318+30</f>
        <v>1855</v>
      </c>
      <c r="AI318" s="15" t="s">
        <v>449</v>
      </c>
      <c r="AJ318" s="15" t="s">
        <v>411</v>
      </c>
      <c r="AK318" s="15">
        <v>1959.06</v>
      </c>
      <c r="AL318" s="15" t="s">
        <v>412</v>
      </c>
      <c r="AM318" s="15" t="s">
        <v>440</v>
      </c>
    </row>
    <row r="319" spans="1:39" x14ac:dyDescent="0.3">
      <c r="A319" s="1">
        <v>30</v>
      </c>
      <c r="D319" s="2">
        <v>0</v>
      </c>
      <c r="F319" s="2">
        <v>0</v>
      </c>
      <c r="K319" s="4">
        <v>2</v>
      </c>
      <c r="L319" s="2">
        <v>1400</v>
      </c>
      <c r="M319" s="5">
        <v>2</v>
      </c>
      <c r="O319" s="17">
        <v>1400</v>
      </c>
      <c r="P319" s="7">
        <v>0</v>
      </c>
      <c r="Q319" s="84">
        <v>0</v>
      </c>
      <c r="AI319" s="15" t="s">
        <v>448</v>
      </c>
      <c r="AJ319" s="15" t="s">
        <v>411</v>
      </c>
      <c r="AK319" s="15">
        <v>1959.06</v>
      </c>
      <c r="AL319" s="15" t="s">
        <v>412</v>
      </c>
      <c r="AM319" s="15" t="s">
        <v>440</v>
      </c>
    </row>
    <row r="320" spans="1:39" x14ac:dyDescent="0.3">
      <c r="A320" s="1">
        <v>30</v>
      </c>
      <c r="D320" s="2">
        <v>1</v>
      </c>
      <c r="E320" s="2">
        <v>2</v>
      </c>
      <c r="F320" s="2">
        <v>0</v>
      </c>
      <c r="K320" s="4">
        <v>2</v>
      </c>
      <c r="L320" s="2">
        <f>4*365</f>
        <v>1460</v>
      </c>
      <c r="M320" s="5">
        <v>2</v>
      </c>
      <c r="Q320" s="84">
        <v>0</v>
      </c>
      <c r="T320" s="9">
        <v>4.9000000000000004</v>
      </c>
      <c r="U320" s="9">
        <v>3.4</v>
      </c>
      <c r="W320" s="10">
        <v>0.83</v>
      </c>
      <c r="X320" s="11">
        <v>1490</v>
      </c>
      <c r="AI320" s="15" t="s">
        <v>448</v>
      </c>
      <c r="AJ320" s="15" t="s">
        <v>411</v>
      </c>
      <c r="AK320" s="15">
        <v>1959.06</v>
      </c>
      <c r="AL320" s="15" t="s">
        <v>412</v>
      </c>
      <c r="AM320" s="15" t="s">
        <v>440</v>
      </c>
    </row>
    <row r="321" spans="1:39" x14ac:dyDescent="0.3">
      <c r="A321" s="1">
        <v>30</v>
      </c>
      <c r="D321" s="2">
        <v>2</v>
      </c>
      <c r="E321" s="2">
        <v>2</v>
      </c>
      <c r="F321" s="2">
        <v>0</v>
      </c>
      <c r="K321" s="4">
        <v>2</v>
      </c>
      <c r="L321" s="2">
        <f>5*365</f>
        <v>1825</v>
      </c>
      <c r="M321" s="5">
        <v>2</v>
      </c>
      <c r="O321" s="17">
        <f>4*365+30</f>
        <v>1490</v>
      </c>
      <c r="P321" s="7">
        <v>0.83</v>
      </c>
      <c r="Q321" s="84">
        <v>0</v>
      </c>
      <c r="R321" s="8">
        <v>4.9000000000000004</v>
      </c>
      <c r="S321" s="8">
        <v>3.4</v>
      </c>
      <c r="T321" s="9">
        <v>10.199999999999999</v>
      </c>
      <c r="U321" s="9">
        <v>2.2000000000000002</v>
      </c>
      <c r="W321" s="10">
        <v>1</v>
      </c>
      <c r="X321" s="11">
        <f>L321+30</f>
        <v>1855</v>
      </c>
      <c r="AI321" s="15" t="s">
        <v>448</v>
      </c>
      <c r="AJ321" s="15" t="s">
        <v>411</v>
      </c>
      <c r="AK321" s="15">
        <v>1959.06</v>
      </c>
      <c r="AL321" s="15" t="s">
        <v>412</v>
      </c>
      <c r="AM321" s="15" t="s">
        <v>440</v>
      </c>
    </row>
    <row r="322" spans="1:39" x14ac:dyDescent="0.3">
      <c r="A322" s="1">
        <v>29</v>
      </c>
      <c r="D322" s="2">
        <v>0</v>
      </c>
      <c r="F322" s="2">
        <v>0</v>
      </c>
      <c r="K322" s="4">
        <v>2</v>
      </c>
      <c r="L322" s="2">
        <v>1400</v>
      </c>
      <c r="M322" s="5">
        <v>2</v>
      </c>
      <c r="O322" s="17">
        <v>1400</v>
      </c>
      <c r="P322" s="7">
        <v>1</v>
      </c>
      <c r="Q322" s="84">
        <v>0</v>
      </c>
      <c r="AI322" s="15" t="s">
        <v>445</v>
      </c>
      <c r="AJ322" s="15" t="s">
        <v>411</v>
      </c>
      <c r="AK322" s="15">
        <v>1959.06</v>
      </c>
      <c r="AL322" s="15" t="s">
        <v>412</v>
      </c>
      <c r="AM322" s="15" t="s">
        <v>440</v>
      </c>
    </row>
    <row r="323" spans="1:39" s="82" customFormat="1" x14ac:dyDescent="0.3">
      <c r="A323" s="67">
        <v>29</v>
      </c>
      <c r="B323" s="68"/>
      <c r="C323" s="68"/>
      <c r="D323" s="68">
        <v>1</v>
      </c>
      <c r="E323" s="68">
        <v>2</v>
      </c>
      <c r="F323" s="68">
        <v>0</v>
      </c>
      <c r="G323" s="69"/>
      <c r="H323" s="68"/>
      <c r="I323" s="69"/>
      <c r="J323" s="69"/>
      <c r="K323" s="70">
        <v>2</v>
      </c>
      <c r="L323" s="68">
        <f>4*365</f>
        <v>1460</v>
      </c>
      <c r="M323" s="71">
        <v>2</v>
      </c>
      <c r="N323" s="72"/>
      <c r="O323" s="84"/>
      <c r="P323" s="73"/>
      <c r="Q323" s="84">
        <v>0</v>
      </c>
      <c r="R323" s="74"/>
      <c r="S323" s="74"/>
      <c r="T323" s="75"/>
      <c r="U323" s="75"/>
      <c r="V323" s="76"/>
      <c r="W323" s="76">
        <v>1</v>
      </c>
      <c r="X323" s="77">
        <v>1490</v>
      </c>
      <c r="Y323" s="78"/>
      <c r="Z323" s="79"/>
      <c r="AA323" s="69"/>
      <c r="AB323" s="68"/>
      <c r="AC323" s="68"/>
      <c r="AD323" s="68"/>
      <c r="AE323" s="80"/>
      <c r="AF323" s="80"/>
      <c r="AG323" s="80"/>
      <c r="AH323" s="80"/>
      <c r="AI323" s="81" t="s">
        <v>445</v>
      </c>
      <c r="AJ323" s="81" t="s">
        <v>411</v>
      </c>
      <c r="AK323" s="81">
        <v>1959.06</v>
      </c>
      <c r="AL323" s="81" t="s">
        <v>412</v>
      </c>
      <c r="AM323" s="81" t="s">
        <v>440</v>
      </c>
    </row>
    <row r="324" spans="1:39" s="82" customFormat="1" x14ac:dyDescent="0.3">
      <c r="A324" s="67">
        <v>29</v>
      </c>
      <c r="B324" s="68"/>
      <c r="C324" s="68"/>
      <c r="D324" s="68">
        <v>2</v>
      </c>
      <c r="E324" s="68">
        <v>2</v>
      </c>
      <c r="F324" s="68">
        <v>0</v>
      </c>
      <c r="G324" s="69"/>
      <c r="H324" s="68"/>
      <c r="I324" s="69"/>
      <c r="J324" s="69"/>
      <c r="K324" s="70">
        <v>2</v>
      </c>
      <c r="L324" s="68">
        <f>5*365</f>
        <v>1825</v>
      </c>
      <c r="M324" s="71">
        <v>2</v>
      </c>
      <c r="N324" s="72"/>
      <c r="O324" s="84">
        <f>4*365+30</f>
        <v>1490</v>
      </c>
      <c r="P324" s="73">
        <v>1</v>
      </c>
      <c r="Q324" s="84">
        <v>0</v>
      </c>
      <c r="R324" s="74"/>
      <c r="S324" s="74"/>
      <c r="T324" s="75"/>
      <c r="U324" s="75"/>
      <c r="V324" s="76"/>
      <c r="W324" s="76">
        <v>1</v>
      </c>
      <c r="X324" s="77">
        <f>L324+30</f>
        <v>1855</v>
      </c>
      <c r="Y324" s="78"/>
      <c r="Z324" s="79"/>
      <c r="AA324" s="69"/>
      <c r="AB324" s="68"/>
      <c r="AC324" s="68"/>
      <c r="AD324" s="68"/>
      <c r="AE324" s="80"/>
      <c r="AF324" s="80"/>
      <c r="AG324" s="80"/>
      <c r="AH324" s="80"/>
      <c r="AI324" s="81" t="s">
        <v>445</v>
      </c>
      <c r="AJ324" s="81" t="s">
        <v>411</v>
      </c>
      <c r="AK324" s="81">
        <v>1959.06</v>
      </c>
      <c r="AL324" s="81" t="s">
        <v>412</v>
      </c>
      <c r="AM324" s="81" t="s">
        <v>440</v>
      </c>
    </row>
    <row r="325" spans="1:39" s="82" customFormat="1" x14ac:dyDescent="0.3">
      <c r="A325" s="67">
        <v>30</v>
      </c>
      <c r="B325" s="68"/>
      <c r="C325" s="68"/>
      <c r="D325" s="68">
        <v>0</v>
      </c>
      <c r="E325" s="68"/>
      <c r="F325" s="68">
        <v>0</v>
      </c>
      <c r="G325" s="69"/>
      <c r="H325" s="68"/>
      <c r="I325" s="69"/>
      <c r="J325" s="69"/>
      <c r="K325" s="70">
        <v>2</v>
      </c>
      <c r="L325" s="68">
        <v>1400</v>
      </c>
      <c r="M325" s="71">
        <v>2</v>
      </c>
      <c r="N325" s="72"/>
      <c r="O325" s="84">
        <v>1400</v>
      </c>
      <c r="P325" s="73">
        <v>1</v>
      </c>
      <c r="Q325" s="84">
        <v>0</v>
      </c>
      <c r="R325" s="74"/>
      <c r="S325" s="74"/>
      <c r="T325" s="75"/>
      <c r="U325" s="75"/>
      <c r="V325" s="76"/>
      <c r="W325" s="76"/>
      <c r="X325" s="77"/>
      <c r="Y325" s="78"/>
      <c r="Z325" s="79"/>
      <c r="AA325" s="69"/>
      <c r="AB325" s="68"/>
      <c r="AC325" s="68"/>
      <c r="AD325" s="68"/>
      <c r="AE325" s="80"/>
      <c r="AF325" s="80"/>
      <c r="AG325" s="80"/>
      <c r="AH325" s="80"/>
      <c r="AI325" s="81" t="s">
        <v>447</v>
      </c>
      <c r="AJ325" s="81" t="s">
        <v>411</v>
      </c>
      <c r="AK325" s="81">
        <v>1959.06</v>
      </c>
      <c r="AL325" s="81" t="s">
        <v>412</v>
      </c>
      <c r="AM325" s="81" t="s">
        <v>440</v>
      </c>
    </row>
    <row r="326" spans="1:39" s="82" customFormat="1" x14ac:dyDescent="0.3">
      <c r="A326" s="67">
        <v>30</v>
      </c>
      <c r="B326" s="68"/>
      <c r="C326" s="68"/>
      <c r="D326" s="68">
        <v>1</v>
      </c>
      <c r="E326" s="68">
        <v>2</v>
      </c>
      <c r="F326" s="68">
        <v>0</v>
      </c>
      <c r="G326" s="69"/>
      <c r="H326" s="68"/>
      <c r="I326" s="69"/>
      <c r="J326" s="69"/>
      <c r="K326" s="70">
        <v>2</v>
      </c>
      <c r="L326" s="68">
        <f>4*365</f>
        <v>1460</v>
      </c>
      <c r="M326" s="71">
        <v>2</v>
      </c>
      <c r="N326" s="72"/>
      <c r="O326" s="84"/>
      <c r="P326" s="73"/>
      <c r="Q326" s="84">
        <v>0</v>
      </c>
      <c r="R326" s="74"/>
      <c r="S326" s="74"/>
      <c r="T326" s="75"/>
      <c r="U326" s="75"/>
      <c r="V326" s="76"/>
      <c r="W326" s="76">
        <v>1</v>
      </c>
      <c r="X326" s="77">
        <v>1490</v>
      </c>
      <c r="Y326" s="78"/>
      <c r="Z326" s="79"/>
      <c r="AA326" s="69"/>
      <c r="AB326" s="68"/>
      <c r="AC326" s="68"/>
      <c r="AD326" s="68"/>
      <c r="AE326" s="80"/>
      <c r="AF326" s="80"/>
      <c r="AG326" s="80"/>
      <c r="AH326" s="80"/>
      <c r="AI326" s="81" t="s">
        <v>447</v>
      </c>
      <c r="AJ326" s="81" t="s">
        <v>411</v>
      </c>
      <c r="AK326" s="81">
        <v>1959.06</v>
      </c>
      <c r="AL326" s="81" t="s">
        <v>412</v>
      </c>
      <c r="AM326" s="81" t="s">
        <v>440</v>
      </c>
    </row>
    <row r="327" spans="1:39" s="82" customFormat="1" x14ac:dyDescent="0.3">
      <c r="A327" s="67">
        <v>30</v>
      </c>
      <c r="B327" s="68"/>
      <c r="C327" s="68"/>
      <c r="D327" s="68">
        <v>2</v>
      </c>
      <c r="E327" s="68">
        <v>2</v>
      </c>
      <c r="F327" s="68">
        <v>0</v>
      </c>
      <c r="G327" s="69"/>
      <c r="H327" s="68"/>
      <c r="I327" s="69"/>
      <c r="J327" s="69"/>
      <c r="K327" s="70">
        <v>2</v>
      </c>
      <c r="L327" s="68">
        <f>5*365</f>
        <v>1825</v>
      </c>
      <c r="M327" s="71">
        <v>2</v>
      </c>
      <c r="N327" s="72"/>
      <c r="O327" s="84">
        <f>4*365+30</f>
        <v>1490</v>
      </c>
      <c r="P327" s="73">
        <v>1</v>
      </c>
      <c r="Q327" s="84">
        <v>0</v>
      </c>
      <c r="R327" s="74"/>
      <c r="S327" s="74"/>
      <c r="T327" s="75"/>
      <c r="U327" s="75"/>
      <c r="V327" s="76"/>
      <c r="W327" s="76">
        <v>1</v>
      </c>
      <c r="X327" s="77">
        <f>L327+30</f>
        <v>1855</v>
      </c>
      <c r="Y327" s="78"/>
      <c r="Z327" s="79"/>
      <c r="AA327" s="69"/>
      <c r="AB327" s="68"/>
      <c r="AC327" s="68"/>
      <c r="AD327" s="68"/>
      <c r="AE327" s="80"/>
      <c r="AF327" s="80"/>
      <c r="AG327" s="80"/>
      <c r="AH327" s="80"/>
      <c r="AI327" s="81" t="s">
        <v>447</v>
      </c>
      <c r="AJ327" s="81" t="s">
        <v>411</v>
      </c>
      <c r="AK327" s="81">
        <v>1959.06</v>
      </c>
      <c r="AL327" s="81" t="s">
        <v>412</v>
      </c>
      <c r="AM327" s="81" t="s">
        <v>440</v>
      </c>
    </row>
    <row r="328" spans="1:39" s="82" customFormat="1" x14ac:dyDescent="0.3">
      <c r="A328" s="67">
        <v>54</v>
      </c>
      <c r="B328" s="68"/>
      <c r="C328" s="68"/>
      <c r="D328" s="68">
        <v>0</v>
      </c>
      <c r="E328" s="68"/>
      <c r="F328" s="68">
        <v>0</v>
      </c>
      <c r="G328" s="69"/>
      <c r="H328" s="68"/>
      <c r="I328" s="69"/>
      <c r="J328" s="69"/>
      <c r="K328" s="70">
        <v>2</v>
      </c>
      <c r="L328" s="68">
        <v>1400</v>
      </c>
      <c r="M328" s="71">
        <v>2</v>
      </c>
      <c r="N328" s="72"/>
      <c r="O328" s="84">
        <v>1400</v>
      </c>
      <c r="P328" s="73">
        <v>0</v>
      </c>
      <c r="Q328" s="84">
        <v>0</v>
      </c>
      <c r="R328" s="74"/>
      <c r="S328" s="74"/>
      <c r="T328" s="75"/>
      <c r="U328" s="75"/>
      <c r="V328" s="76"/>
      <c r="W328" s="76"/>
      <c r="X328" s="77"/>
      <c r="Y328" s="78"/>
      <c r="Z328" s="79"/>
      <c r="AA328" s="69"/>
      <c r="AB328" s="68"/>
      <c r="AC328" s="68"/>
      <c r="AD328" s="68"/>
      <c r="AE328" s="80"/>
      <c r="AF328" s="80"/>
      <c r="AG328" s="80"/>
      <c r="AH328" s="80"/>
      <c r="AI328" s="81" t="s">
        <v>446</v>
      </c>
      <c r="AJ328" s="81" t="s">
        <v>411</v>
      </c>
      <c r="AK328" s="81">
        <v>1959.06</v>
      </c>
      <c r="AL328" s="81" t="s">
        <v>412</v>
      </c>
      <c r="AM328" s="81" t="s">
        <v>440</v>
      </c>
    </row>
    <row r="329" spans="1:39" s="82" customFormat="1" x14ac:dyDescent="0.3">
      <c r="A329" s="67">
        <v>54</v>
      </c>
      <c r="B329" s="68"/>
      <c r="C329" s="68"/>
      <c r="D329" s="68">
        <v>1</v>
      </c>
      <c r="E329" s="68">
        <v>2</v>
      </c>
      <c r="F329" s="68">
        <v>0</v>
      </c>
      <c r="G329" s="69"/>
      <c r="H329" s="68"/>
      <c r="I329" s="69"/>
      <c r="J329" s="69"/>
      <c r="K329" s="70">
        <v>2</v>
      </c>
      <c r="L329" s="68">
        <f>4*365</f>
        <v>1460</v>
      </c>
      <c r="M329" s="71">
        <v>2</v>
      </c>
      <c r="N329" s="72"/>
      <c r="O329" s="84"/>
      <c r="P329" s="73"/>
      <c r="Q329" s="84">
        <v>0</v>
      </c>
      <c r="R329" s="74"/>
      <c r="S329" s="74"/>
      <c r="T329" s="75">
        <v>4.7</v>
      </c>
      <c r="U329" s="75">
        <v>4</v>
      </c>
      <c r="V329" s="76"/>
      <c r="W329" s="76">
        <v>0.78</v>
      </c>
      <c r="X329" s="77">
        <v>1490</v>
      </c>
      <c r="Y329" s="78"/>
      <c r="Z329" s="79"/>
      <c r="AA329" s="69"/>
      <c r="AB329" s="68"/>
      <c r="AC329" s="68"/>
      <c r="AD329" s="68"/>
      <c r="AE329" s="80"/>
      <c r="AF329" s="80"/>
      <c r="AG329" s="80"/>
      <c r="AH329" s="80"/>
      <c r="AI329" s="81" t="s">
        <v>446</v>
      </c>
      <c r="AJ329" s="81" t="s">
        <v>411</v>
      </c>
      <c r="AK329" s="81">
        <v>1959.06</v>
      </c>
      <c r="AL329" s="81" t="s">
        <v>412</v>
      </c>
      <c r="AM329" s="81" t="s">
        <v>440</v>
      </c>
    </row>
    <row r="330" spans="1:39" s="82" customFormat="1" x14ac:dyDescent="0.3">
      <c r="A330" s="67">
        <v>54</v>
      </c>
      <c r="B330" s="68"/>
      <c r="C330" s="68"/>
      <c r="D330" s="68">
        <v>2</v>
      </c>
      <c r="E330" s="68">
        <v>2</v>
      </c>
      <c r="F330" s="68">
        <v>0</v>
      </c>
      <c r="G330" s="69"/>
      <c r="H330" s="68"/>
      <c r="I330" s="69"/>
      <c r="J330" s="69"/>
      <c r="K330" s="70">
        <v>2</v>
      </c>
      <c r="L330" s="68">
        <f>5*365</f>
        <v>1825</v>
      </c>
      <c r="M330" s="71">
        <v>2</v>
      </c>
      <c r="N330" s="72"/>
      <c r="O330" s="84">
        <f>4*365+30</f>
        <v>1490</v>
      </c>
      <c r="P330" s="73">
        <v>0.78</v>
      </c>
      <c r="Q330" s="84">
        <v>0</v>
      </c>
      <c r="R330" s="74">
        <v>4.7</v>
      </c>
      <c r="S330" s="74">
        <v>4</v>
      </c>
      <c r="T330" s="75">
        <v>8.6</v>
      </c>
      <c r="U330" s="75">
        <v>3.5</v>
      </c>
      <c r="V330" s="76"/>
      <c r="W330" s="76">
        <v>1</v>
      </c>
      <c r="X330" s="77">
        <f>L330+30</f>
        <v>1855</v>
      </c>
      <c r="Y330" s="78"/>
      <c r="Z330" s="79"/>
      <c r="AA330" s="69"/>
      <c r="AB330" s="68"/>
      <c r="AC330" s="68"/>
      <c r="AD330" s="68"/>
      <c r="AE330" s="80"/>
      <c r="AF330" s="80"/>
      <c r="AG330" s="80"/>
      <c r="AH330" s="80"/>
      <c r="AI330" s="81" t="s">
        <v>446</v>
      </c>
      <c r="AJ330" s="81" t="s">
        <v>411</v>
      </c>
      <c r="AK330" s="81">
        <v>1959.06</v>
      </c>
      <c r="AL330" s="81" t="s">
        <v>412</v>
      </c>
      <c r="AM330" s="81" t="s">
        <v>440</v>
      </c>
    </row>
    <row r="331" spans="1:39" s="82" customFormat="1" x14ac:dyDescent="0.3">
      <c r="A331" s="67">
        <v>156</v>
      </c>
      <c r="B331" s="68"/>
      <c r="C331" s="68"/>
      <c r="D331" s="68">
        <v>0</v>
      </c>
      <c r="E331" s="68"/>
      <c r="F331" s="68">
        <v>0</v>
      </c>
      <c r="G331" s="69"/>
      <c r="H331" s="68"/>
      <c r="I331" s="69"/>
      <c r="J331" s="69"/>
      <c r="K331" s="70">
        <v>2</v>
      </c>
      <c r="L331" s="68">
        <v>1400</v>
      </c>
      <c r="M331" s="71">
        <v>2</v>
      </c>
      <c r="N331" s="72"/>
      <c r="O331" s="84">
        <v>1400</v>
      </c>
      <c r="P331" s="73">
        <v>0</v>
      </c>
      <c r="Q331" s="84">
        <v>0</v>
      </c>
      <c r="R331" s="74"/>
      <c r="S331" s="74"/>
      <c r="T331" s="75"/>
      <c r="U331" s="75"/>
      <c r="V331" s="76"/>
      <c r="W331" s="76"/>
      <c r="X331" s="77"/>
      <c r="Y331" s="78"/>
      <c r="Z331" s="79"/>
      <c r="AA331" s="69"/>
      <c r="AB331" s="68"/>
      <c r="AC331" s="68"/>
      <c r="AD331" s="68"/>
      <c r="AE331" s="80"/>
      <c r="AF331" s="80"/>
      <c r="AG331" s="80"/>
      <c r="AH331" s="80"/>
      <c r="AI331" s="81" t="s">
        <v>443</v>
      </c>
      <c r="AJ331" s="81" t="s">
        <v>411</v>
      </c>
      <c r="AK331" s="81">
        <v>1959.06</v>
      </c>
      <c r="AL331" s="81" t="s">
        <v>412</v>
      </c>
      <c r="AM331" s="81" t="s">
        <v>440</v>
      </c>
    </row>
    <row r="332" spans="1:39" s="82" customFormat="1" x14ac:dyDescent="0.3">
      <c r="A332" s="67">
        <v>156</v>
      </c>
      <c r="B332" s="68"/>
      <c r="C332" s="68"/>
      <c r="D332" s="68">
        <v>1</v>
      </c>
      <c r="E332" s="68">
        <v>2</v>
      </c>
      <c r="F332" s="68">
        <v>0</v>
      </c>
      <c r="G332" s="69"/>
      <c r="H332" s="68"/>
      <c r="I332" s="69"/>
      <c r="J332" s="69"/>
      <c r="K332" s="70">
        <v>2</v>
      </c>
      <c r="L332" s="68">
        <v>1400</v>
      </c>
      <c r="M332" s="71">
        <v>2</v>
      </c>
      <c r="N332" s="72"/>
      <c r="O332" s="84"/>
      <c r="P332" s="73"/>
      <c r="Q332" s="84">
        <v>0</v>
      </c>
      <c r="R332" s="74"/>
      <c r="S332" s="74"/>
      <c r="T332" s="75">
        <v>3.2</v>
      </c>
      <c r="U332" s="75">
        <v>3.6</v>
      </c>
      <c r="V332" s="76"/>
      <c r="W332" s="76">
        <v>0.52</v>
      </c>
      <c r="X332" s="77">
        <v>1490</v>
      </c>
      <c r="Y332" s="78"/>
      <c r="Z332" s="79"/>
      <c r="AA332" s="69"/>
      <c r="AB332" s="68"/>
      <c r="AC332" s="68"/>
      <c r="AD332" s="68"/>
      <c r="AE332" s="80"/>
      <c r="AF332" s="80"/>
      <c r="AG332" s="80"/>
      <c r="AH332" s="80"/>
      <c r="AI332" s="81" t="s">
        <v>443</v>
      </c>
      <c r="AJ332" s="81" t="s">
        <v>411</v>
      </c>
      <c r="AK332" s="81">
        <v>1959.06</v>
      </c>
      <c r="AL332" s="81" t="s">
        <v>412</v>
      </c>
      <c r="AM332" s="81" t="s">
        <v>440</v>
      </c>
    </row>
    <row r="333" spans="1:39" s="82" customFormat="1" x14ac:dyDescent="0.3">
      <c r="A333" s="67">
        <v>156</v>
      </c>
      <c r="B333" s="68"/>
      <c r="C333" s="68"/>
      <c r="D333" s="68">
        <v>2</v>
      </c>
      <c r="E333" s="68">
        <v>2</v>
      </c>
      <c r="F333" s="68">
        <v>0</v>
      </c>
      <c r="G333" s="69"/>
      <c r="H333" s="68"/>
      <c r="I333" s="69"/>
      <c r="J333" s="69"/>
      <c r="K333" s="70">
        <v>2</v>
      </c>
      <c r="L333" s="68">
        <f>5*365</f>
        <v>1825</v>
      </c>
      <c r="M333" s="71">
        <v>2</v>
      </c>
      <c r="N333" s="72"/>
      <c r="O333" s="84">
        <f>4*365+30</f>
        <v>1490</v>
      </c>
      <c r="P333" s="73">
        <v>0.52</v>
      </c>
      <c r="Q333" s="84">
        <v>0</v>
      </c>
      <c r="R333" s="74">
        <v>3.2</v>
      </c>
      <c r="S333" s="74">
        <v>3.6</v>
      </c>
      <c r="T333" s="75">
        <v>8.4</v>
      </c>
      <c r="U333" s="75">
        <v>3</v>
      </c>
      <c r="V333" s="76"/>
      <c r="W333" s="76">
        <v>1</v>
      </c>
      <c r="X333" s="77">
        <f>L333+30</f>
        <v>1855</v>
      </c>
      <c r="Y333" s="78"/>
      <c r="Z333" s="79"/>
      <c r="AA333" s="69"/>
      <c r="AB333" s="68"/>
      <c r="AC333" s="68"/>
      <c r="AD333" s="68"/>
      <c r="AE333" s="80"/>
      <c r="AF333" s="80"/>
      <c r="AG333" s="80"/>
      <c r="AH333" s="80"/>
      <c r="AI333" s="81" t="s">
        <v>443</v>
      </c>
      <c r="AJ333" s="81" t="s">
        <v>411</v>
      </c>
      <c r="AK333" s="81">
        <v>1959.06</v>
      </c>
      <c r="AL333" s="81" t="s">
        <v>412</v>
      </c>
      <c r="AM333" s="81" t="s">
        <v>440</v>
      </c>
    </row>
    <row r="334" spans="1:39" s="82" customFormat="1" x14ac:dyDescent="0.3">
      <c r="A334" s="67">
        <v>30</v>
      </c>
      <c r="B334" s="68"/>
      <c r="C334" s="68"/>
      <c r="D334" s="68">
        <v>0</v>
      </c>
      <c r="E334" s="68"/>
      <c r="F334" s="68">
        <v>0</v>
      </c>
      <c r="G334" s="69"/>
      <c r="H334" s="68"/>
      <c r="I334" s="69"/>
      <c r="J334" s="69"/>
      <c r="K334" s="70">
        <v>3</v>
      </c>
      <c r="L334" s="68">
        <v>1400</v>
      </c>
      <c r="M334" s="71">
        <v>4</v>
      </c>
      <c r="N334" s="72"/>
      <c r="O334" s="84">
        <v>1400</v>
      </c>
      <c r="P334" s="73">
        <v>0</v>
      </c>
      <c r="Q334" s="84">
        <v>0</v>
      </c>
      <c r="R334" s="74"/>
      <c r="S334" s="74"/>
      <c r="T334" s="75"/>
      <c r="U334" s="75"/>
      <c r="V334" s="76"/>
      <c r="W334" s="76"/>
      <c r="X334" s="77"/>
      <c r="Y334" s="78"/>
      <c r="Z334" s="79"/>
      <c r="AA334" s="69"/>
      <c r="AB334" s="68"/>
      <c r="AC334" s="68"/>
      <c r="AD334" s="68"/>
      <c r="AE334" s="80"/>
      <c r="AF334" s="80"/>
      <c r="AG334" s="80"/>
      <c r="AH334" s="80"/>
      <c r="AI334" s="81" t="s">
        <v>444</v>
      </c>
      <c r="AJ334" s="81" t="s">
        <v>411</v>
      </c>
      <c r="AK334" s="81">
        <v>1959.06</v>
      </c>
      <c r="AL334" s="81" t="s">
        <v>412</v>
      </c>
      <c r="AM334" s="81" t="s">
        <v>440</v>
      </c>
    </row>
    <row r="335" spans="1:39" s="82" customFormat="1" x14ac:dyDescent="0.3">
      <c r="A335" s="67">
        <v>30</v>
      </c>
      <c r="B335" s="68"/>
      <c r="C335" s="68"/>
      <c r="D335" s="68">
        <v>1</v>
      </c>
      <c r="E335" s="68">
        <v>4</v>
      </c>
      <c r="F335" s="68">
        <v>0</v>
      </c>
      <c r="G335" s="69"/>
      <c r="H335" s="68"/>
      <c r="I335" s="69"/>
      <c r="J335" s="69"/>
      <c r="K335" s="70">
        <v>3</v>
      </c>
      <c r="L335" s="68">
        <f>4*365</f>
        <v>1460</v>
      </c>
      <c r="M335" s="71">
        <v>4</v>
      </c>
      <c r="N335" s="72"/>
      <c r="O335" s="84"/>
      <c r="P335" s="73"/>
      <c r="Q335" s="84">
        <v>0</v>
      </c>
      <c r="R335" s="74"/>
      <c r="S335" s="74"/>
      <c r="T335" s="75">
        <v>3.2</v>
      </c>
      <c r="U335" s="75">
        <v>4.5</v>
      </c>
      <c r="V335" s="76"/>
      <c r="W335" s="76">
        <v>0.67</v>
      </c>
      <c r="X335" s="77">
        <v>1490</v>
      </c>
      <c r="Y335" s="78"/>
      <c r="Z335" s="79"/>
      <c r="AA335" s="69"/>
      <c r="AB335" s="68"/>
      <c r="AC335" s="68"/>
      <c r="AD335" s="68"/>
      <c r="AE335" s="80"/>
      <c r="AF335" s="80"/>
      <c r="AG335" s="80"/>
      <c r="AH335" s="80"/>
      <c r="AI335" s="81" t="s">
        <v>444</v>
      </c>
      <c r="AJ335" s="81" t="s">
        <v>411</v>
      </c>
      <c r="AK335" s="81">
        <v>1959.06</v>
      </c>
      <c r="AL335" s="81" t="s">
        <v>412</v>
      </c>
      <c r="AM335" s="81" t="s">
        <v>440</v>
      </c>
    </row>
    <row r="336" spans="1:39" s="82" customFormat="1" x14ac:dyDescent="0.3">
      <c r="A336" s="67">
        <v>30</v>
      </c>
      <c r="B336" s="68"/>
      <c r="C336" s="68"/>
      <c r="D336" s="68">
        <v>2</v>
      </c>
      <c r="E336" s="68">
        <v>4</v>
      </c>
      <c r="F336" s="68">
        <v>0</v>
      </c>
      <c r="G336" s="69"/>
      <c r="H336" s="68"/>
      <c r="I336" s="69"/>
      <c r="J336" s="69"/>
      <c r="K336" s="70">
        <v>3</v>
      </c>
      <c r="L336" s="68">
        <f>5*365</f>
        <v>1825</v>
      </c>
      <c r="M336" s="71">
        <v>4</v>
      </c>
      <c r="N336" s="72"/>
      <c r="O336" s="84">
        <f>4*365+30</f>
        <v>1490</v>
      </c>
      <c r="P336" s="73">
        <v>0.67</v>
      </c>
      <c r="Q336" s="84">
        <v>0</v>
      </c>
      <c r="R336" s="74">
        <v>3.2</v>
      </c>
      <c r="S336" s="74">
        <v>4.5</v>
      </c>
      <c r="T336" s="75">
        <v>4.8</v>
      </c>
      <c r="U336" s="75">
        <v>7.5</v>
      </c>
      <c r="V336" s="76"/>
      <c r="W336" s="76">
        <v>0.78</v>
      </c>
      <c r="X336" s="77">
        <f>L336+30</f>
        <v>1855</v>
      </c>
      <c r="Y336" s="78"/>
      <c r="Z336" s="79"/>
      <c r="AA336" s="69"/>
      <c r="AB336" s="68"/>
      <c r="AC336" s="68"/>
      <c r="AD336" s="68"/>
      <c r="AE336" s="80"/>
      <c r="AF336" s="80"/>
      <c r="AG336" s="80"/>
      <c r="AH336" s="80"/>
      <c r="AI336" s="81" t="s">
        <v>444</v>
      </c>
      <c r="AJ336" s="81" t="s">
        <v>411</v>
      </c>
      <c r="AK336" s="81">
        <v>1959.06</v>
      </c>
      <c r="AL336" s="81" t="s">
        <v>412</v>
      </c>
      <c r="AM336" s="81" t="s">
        <v>440</v>
      </c>
    </row>
    <row r="337" spans="1:39" s="82" customFormat="1" x14ac:dyDescent="0.3">
      <c r="A337" s="67">
        <v>40</v>
      </c>
      <c r="B337" s="68"/>
      <c r="C337" s="68"/>
      <c r="D337" s="68">
        <v>0</v>
      </c>
      <c r="E337" s="68"/>
      <c r="F337" s="68">
        <v>0</v>
      </c>
      <c r="G337" s="69"/>
      <c r="H337" s="68"/>
      <c r="I337" s="69"/>
      <c r="J337" s="69"/>
      <c r="K337" s="70">
        <v>3</v>
      </c>
      <c r="L337" s="68">
        <v>1400</v>
      </c>
      <c r="M337" s="71">
        <v>4</v>
      </c>
      <c r="N337" s="72"/>
      <c r="O337" s="84">
        <v>1400</v>
      </c>
      <c r="P337" s="73">
        <v>0</v>
      </c>
      <c r="Q337" s="84">
        <v>0</v>
      </c>
      <c r="R337" s="74"/>
      <c r="S337" s="74"/>
      <c r="T337" s="75"/>
      <c r="U337" s="75"/>
      <c r="V337" s="76"/>
      <c r="W337" s="76"/>
      <c r="X337" s="77"/>
      <c r="Y337" s="78"/>
      <c r="Z337" s="79"/>
      <c r="AA337" s="69"/>
      <c r="AB337" s="68"/>
      <c r="AC337" s="68"/>
      <c r="AD337" s="68"/>
      <c r="AE337" s="80"/>
      <c r="AF337" s="80"/>
      <c r="AG337" s="80"/>
      <c r="AH337" s="80"/>
      <c r="AI337" s="81" t="s">
        <v>449</v>
      </c>
      <c r="AJ337" s="81" t="s">
        <v>411</v>
      </c>
      <c r="AK337" s="81">
        <v>1959.06</v>
      </c>
      <c r="AL337" s="81" t="s">
        <v>412</v>
      </c>
      <c r="AM337" s="81" t="s">
        <v>440</v>
      </c>
    </row>
    <row r="338" spans="1:39" s="82" customFormat="1" x14ac:dyDescent="0.3">
      <c r="A338" s="67">
        <v>40</v>
      </c>
      <c r="B338" s="68"/>
      <c r="C338" s="68"/>
      <c r="D338" s="68">
        <v>1</v>
      </c>
      <c r="E338" s="68">
        <v>4</v>
      </c>
      <c r="F338" s="68">
        <v>0</v>
      </c>
      <c r="G338" s="69"/>
      <c r="H338" s="68"/>
      <c r="I338" s="69"/>
      <c r="J338" s="69"/>
      <c r="K338" s="70">
        <v>3</v>
      </c>
      <c r="L338" s="68">
        <f>4*365</f>
        <v>1460</v>
      </c>
      <c r="M338" s="71">
        <v>4</v>
      </c>
      <c r="N338" s="72"/>
      <c r="O338" s="84"/>
      <c r="P338" s="73"/>
      <c r="Q338" s="84">
        <v>0</v>
      </c>
      <c r="R338" s="74"/>
      <c r="S338" s="74"/>
      <c r="T338" s="75">
        <v>3.7</v>
      </c>
      <c r="U338" s="75">
        <v>2.8</v>
      </c>
      <c r="V338" s="76"/>
      <c r="W338" s="76">
        <v>0.65</v>
      </c>
      <c r="X338" s="77">
        <v>1490</v>
      </c>
      <c r="Y338" s="78"/>
      <c r="Z338" s="79"/>
      <c r="AA338" s="69"/>
      <c r="AB338" s="68"/>
      <c r="AC338" s="68"/>
      <c r="AD338" s="68"/>
      <c r="AE338" s="80"/>
      <c r="AF338" s="80"/>
      <c r="AG338" s="80"/>
      <c r="AH338" s="80"/>
      <c r="AI338" s="81" t="s">
        <v>449</v>
      </c>
      <c r="AJ338" s="81" t="s">
        <v>411</v>
      </c>
      <c r="AK338" s="81">
        <v>1959.06</v>
      </c>
      <c r="AL338" s="81" t="s">
        <v>412</v>
      </c>
      <c r="AM338" s="81" t="s">
        <v>440</v>
      </c>
    </row>
    <row r="339" spans="1:39" s="82" customFormat="1" x14ac:dyDescent="0.3">
      <c r="A339" s="67">
        <v>40</v>
      </c>
      <c r="B339" s="68"/>
      <c r="C339" s="68"/>
      <c r="D339" s="68">
        <v>2</v>
      </c>
      <c r="E339" s="68">
        <v>4</v>
      </c>
      <c r="F339" s="68">
        <v>0</v>
      </c>
      <c r="G339" s="69"/>
      <c r="H339" s="68"/>
      <c r="I339" s="69"/>
      <c r="J339" s="69"/>
      <c r="K339" s="70">
        <v>3</v>
      </c>
      <c r="L339" s="68">
        <f>5*365</f>
        <v>1825</v>
      </c>
      <c r="M339" s="71">
        <v>4</v>
      </c>
      <c r="N339" s="72"/>
      <c r="O339" s="84">
        <f>4*365+30</f>
        <v>1490</v>
      </c>
      <c r="P339" s="73">
        <v>0.65</v>
      </c>
      <c r="Q339" s="84">
        <v>0</v>
      </c>
      <c r="R339" s="74">
        <v>3.7</v>
      </c>
      <c r="S339" s="74">
        <v>2.8</v>
      </c>
      <c r="T339" s="75">
        <v>6.3</v>
      </c>
      <c r="U339" s="75">
        <v>4.9000000000000004</v>
      </c>
      <c r="V339" s="76"/>
      <c r="W339" s="76">
        <v>0.94</v>
      </c>
      <c r="X339" s="77">
        <f>L339+30</f>
        <v>1855</v>
      </c>
      <c r="Y339" s="78"/>
      <c r="Z339" s="79"/>
      <c r="AA339" s="69"/>
      <c r="AB339" s="68"/>
      <c r="AC339" s="68"/>
      <c r="AD339" s="68"/>
      <c r="AE339" s="80"/>
      <c r="AF339" s="80"/>
      <c r="AG339" s="80"/>
      <c r="AH339" s="80"/>
      <c r="AI339" s="81" t="s">
        <v>449</v>
      </c>
      <c r="AJ339" s="81" t="s">
        <v>411</v>
      </c>
      <c r="AK339" s="81">
        <v>1959.06</v>
      </c>
      <c r="AL339" s="81" t="s">
        <v>412</v>
      </c>
      <c r="AM339" s="81" t="s">
        <v>440</v>
      </c>
    </row>
    <row r="340" spans="1:39" s="82" customFormat="1" x14ac:dyDescent="0.3">
      <c r="A340" s="67">
        <v>30</v>
      </c>
      <c r="B340" s="68"/>
      <c r="C340" s="68"/>
      <c r="D340" s="68">
        <v>0</v>
      </c>
      <c r="E340" s="68"/>
      <c r="F340" s="68">
        <v>0</v>
      </c>
      <c r="G340" s="69"/>
      <c r="H340" s="68"/>
      <c r="I340" s="69"/>
      <c r="J340" s="69"/>
      <c r="K340" s="70">
        <v>3</v>
      </c>
      <c r="L340" s="68">
        <v>1400</v>
      </c>
      <c r="M340" s="71">
        <v>4</v>
      </c>
      <c r="N340" s="72"/>
      <c r="O340" s="84">
        <v>1400</v>
      </c>
      <c r="P340" s="73">
        <v>1</v>
      </c>
      <c r="Q340" s="84">
        <v>0</v>
      </c>
      <c r="R340" s="74"/>
      <c r="S340" s="74"/>
      <c r="T340" s="75"/>
      <c r="U340" s="75"/>
      <c r="V340" s="76"/>
      <c r="W340" s="76"/>
      <c r="X340" s="77"/>
      <c r="Y340" s="78"/>
      <c r="Z340" s="79"/>
      <c r="AA340" s="69"/>
      <c r="AB340" s="68"/>
      <c r="AC340" s="68"/>
      <c r="AD340" s="68"/>
      <c r="AE340" s="80"/>
      <c r="AF340" s="80"/>
      <c r="AG340" s="80"/>
      <c r="AH340" s="80"/>
      <c r="AI340" s="81" t="s">
        <v>448</v>
      </c>
      <c r="AJ340" s="81" t="s">
        <v>411</v>
      </c>
      <c r="AK340" s="81">
        <v>1959.06</v>
      </c>
      <c r="AL340" s="81" t="s">
        <v>412</v>
      </c>
      <c r="AM340" s="81" t="s">
        <v>440</v>
      </c>
    </row>
    <row r="341" spans="1:39" s="82" customFormat="1" x14ac:dyDescent="0.3">
      <c r="A341" s="67">
        <v>30</v>
      </c>
      <c r="B341" s="68"/>
      <c r="C341" s="68"/>
      <c r="D341" s="68">
        <v>1</v>
      </c>
      <c r="E341" s="68">
        <v>4</v>
      </c>
      <c r="F341" s="68">
        <v>0</v>
      </c>
      <c r="G341" s="69"/>
      <c r="H341" s="68"/>
      <c r="I341" s="69"/>
      <c r="J341" s="69"/>
      <c r="K341" s="70">
        <v>3</v>
      </c>
      <c r="L341" s="68">
        <f>4*365</f>
        <v>1460</v>
      </c>
      <c r="M341" s="71">
        <v>4</v>
      </c>
      <c r="N341" s="72"/>
      <c r="O341" s="84"/>
      <c r="P341" s="73"/>
      <c r="Q341" s="84">
        <v>0</v>
      </c>
      <c r="R341" s="74"/>
      <c r="S341" s="74"/>
      <c r="T341" s="75"/>
      <c r="U341" s="75"/>
      <c r="V341" s="76"/>
      <c r="W341" s="76">
        <v>1</v>
      </c>
      <c r="X341" s="77">
        <v>1490</v>
      </c>
      <c r="Y341" s="78"/>
      <c r="Z341" s="79"/>
      <c r="AA341" s="69"/>
      <c r="AB341" s="68"/>
      <c r="AC341" s="68"/>
      <c r="AD341" s="68"/>
      <c r="AE341" s="80"/>
      <c r="AF341" s="80"/>
      <c r="AG341" s="80"/>
      <c r="AH341" s="80"/>
      <c r="AI341" s="81" t="s">
        <v>448</v>
      </c>
      <c r="AJ341" s="81" t="s">
        <v>411</v>
      </c>
      <c r="AK341" s="81">
        <v>1959.06</v>
      </c>
      <c r="AL341" s="81" t="s">
        <v>412</v>
      </c>
      <c r="AM341" s="81" t="s">
        <v>440</v>
      </c>
    </row>
    <row r="342" spans="1:39" s="82" customFormat="1" x14ac:dyDescent="0.3">
      <c r="A342" s="67">
        <v>30</v>
      </c>
      <c r="B342" s="68"/>
      <c r="C342" s="68"/>
      <c r="D342" s="68">
        <v>2</v>
      </c>
      <c r="E342" s="68">
        <v>4</v>
      </c>
      <c r="F342" s="68">
        <v>0</v>
      </c>
      <c r="G342" s="69"/>
      <c r="H342" s="68"/>
      <c r="I342" s="69"/>
      <c r="J342" s="69"/>
      <c r="K342" s="70">
        <v>3</v>
      </c>
      <c r="L342" s="68">
        <f>5*365</f>
        <v>1825</v>
      </c>
      <c r="M342" s="71">
        <v>4</v>
      </c>
      <c r="N342" s="72"/>
      <c r="O342" s="84">
        <f>4*365+30</f>
        <v>1490</v>
      </c>
      <c r="P342" s="73">
        <v>1</v>
      </c>
      <c r="Q342" s="84">
        <v>0</v>
      </c>
      <c r="R342" s="74"/>
      <c r="S342" s="74"/>
      <c r="T342" s="75"/>
      <c r="U342" s="75"/>
      <c r="V342" s="76"/>
      <c r="W342" s="76">
        <v>1</v>
      </c>
      <c r="X342" s="77">
        <f>L342+30</f>
        <v>1855</v>
      </c>
      <c r="Y342" s="78"/>
      <c r="Z342" s="79"/>
      <c r="AA342" s="69"/>
      <c r="AB342" s="68"/>
      <c r="AC342" s="68"/>
      <c r="AD342" s="68"/>
      <c r="AE342" s="80"/>
      <c r="AF342" s="80"/>
      <c r="AG342" s="80"/>
      <c r="AH342" s="80"/>
      <c r="AI342" s="81" t="s">
        <v>448</v>
      </c>
      <c r="AJ342" s="81" t="s">
        <v>411</v>
      </c>
      <c r="AK342" s="81">
        <v>1959.06</v>
      </c>
      <c r="AL342" s="81" t="s">
        <v>412</v>
      </c>
      <c r="AM342" s="81" t="s">
        <v>440</v>
      </c>
    </row>
    <row r="343" spans="1:39" s="82" customFormat="1" x14ac:dyDescent="0.3">
      <c r="A343" s="67">
        <v>29</v>
      </c>
      <c r="B343" s="68"/>
      <c r="C343" s="68"/>
      <c r="D343" s="68">
        <v>0</v>
      </c>
      <c r="E343" s="68"/>
      <c r="F343" s="68">
        <v>0</v>
      </c>
      <c r="G343" s="69"/>
      <c r="H343" s="68"/>
      <c r="I343" s="69"/>
      <c r="J343" s="69"/>
      <c r="K343" s="70">
        <v>3</v>
      </c>
      <c r="L343" s="68">
        <v>1400</v>
      </c>
      <c r="M343" s="71">
        <v>4</v>
      </c>
      <c r="N343" s="72"/>
      <c r="O343" s="84">
        <v>1400</v>
      </c>
      <c r="P343" s="73">
        <v>0</v>
      </c>
      <c r="Q343" s="84">
        <v>0</v>
      </c>
      <c r="R343" s="74"/>
      <c r="S343" s="74"/>
      <c r="T343" s="75"/>
      <c r="U343" s="75"/>
      <c r="V343" s="76"/>
      <c r="W343" s="76"/>
      <c r="X343" s="77"/>
      <c r="Y343" s="78"/>
      <c r="Z343" s="79"/>
      <c r="AA343" s="69"/>
      <c r="AB343" s="68"/>
      <c r="AC343" s="68"/>
      <c r="AD343" s="68"/>
      <c r="AE343" s="80"/>
      <c r="AF343" s="80"/>
      <c r="AG343" s="80"/>
      <c r="AH343" s="80"/>
      <c r="AI343" s="81" t="s">
        <v>445</v>
      </c>
      <c r="AJ343" s="81" t="s">
        <v>411</v>
      </c>
      <c r="AK343" s="81">
        <v>1959.06</v>
      </c>
      <c r="AL343" s="81" t="s">
        <v>412</v>
      </c>
      <c r="AM343" s="81" t="s">
        <v>440</v>
      </c>
    </row>
    <row r="344" spans="1:39" s="82" customFormat="1" x14ac:dyDescent="0.3">
      <c r="A344" s="67">
        <v>29</v>
      </c>
      <c r="B344" s="68"/>
      <c r="C344" s="68"/>
      <c r="D344" s="68">
        <v>1</v>
      </c>
      <c r="E344" s="68">
        <v>4</v>
      </c>
      <c r="F344" s="68">
        <v>0</v>
      </c>
      <c r="G344" s="69"/>
      <c r="H344" s="68"/>
      <c r="I344" s="69"/>
      <c r="J344" s="69"/>
      <c r="K344" s="70">
        <v>3</v>
      </c>
      <c r="L344" s="68">
        <f>4*365</f>
        <v>1460</v>
      </c>
      <c r="M344" s="71">
        <v>4</v>
      </c>
      <c r="N344" s="72"/>
      <c r="O344" s="84"/>
      <c r="P344" s="73"/>
      <c r="Q344" s="84">
        <v>0</v>
      </c>
      <c r="R344" s="74"/>
      <c r="S344" s="74"/>
      <c r="T344" s="75">
        <v>2.4</v>
      </c>
      <c r="U344" s="75">
        <v>4.8</v>
      </c>
      <c r="V344" s="76"/>
      <c r="W344" s="76">
        <v>0.24</v>
      </c>
      <c r="X344" s="77">
        <v>1490</v>
      </c>
      <c r="Y344" s="78"/>
      <c r="Z344" s="79"/>
      <c r="AA344" s="69"/>
      <c r="AB344" s="68"/>
      <c r="AC344" s="68"/>
      <c r="AD344" s="68"/>
      <c r="AE344" s="80"/>
      <c r="AF344" s="80"/>
      <c r="AG344" s="80"/>
      <c r="AH344" s="80"/>
      <c r="AI344" s="81" t="s">
        <v>445</v>
      </c>
      <c r="AJ344" s="81" t="s">
        <v>411</v>
      </c>
      <c r="AK344" s="81">
        <v>1959.06</v>
      </c>
      <c r="AL344" s="81" t="s">
        <v>412</v>
      </c>
      <c r="AM344" s="81" t="s">
        <v>440</v>
      </c>
    </row>
    <row r="345" spans="1:39" s="82" customFormat="1" x14ac:dyDescent="0.3">
      <c r="A345" s="67">
        <v>29</v>
      </c>
      <c r="B345" s="68"/>
      <c r="C345" s="68"/>
      <c r="D345" s="68">
        <v>2</v>
      </c>
      <c r="E345" s="68">
        <v>4</v>
      </c>
      <c r="F345" s="68">
        <v>0</v>
      </c>
      <c r="G345" s="69"/>
      <c r="H345" s="68"/>
      <c r="I345" s="69"/>
      <c r="J345" s="69"/>
      <c r="K345" s="70">
        <v>3</v>
      </c>
      <c r="L345" s="68">
        <f>5*365</f>
        <v>1825</v>
      </c>
      <c r="M345" s="71">
        <v>4</v>
      </c>
      <c r="N345" s="72"/>
      <c r="O345" s="84">
        <f>4*365+30</f>
        <v>1490</v>
      </c>
      <c r="P345" s="73">
        <v>0.24</v>
      </c>
      <c r="Q345" s="84">
        <v>0</v>
      </c>
      <c r="R345" s="74">
        <v>2.4</v>
      </c>
      <c r="S345" s="74">
        <v>4.8</v>
      </c>
      <c r="T345" s="75">
        <v>5.8</v>
      </c>
      <c r="U345" s="75">
        <v>8.8000000000000007</v>
      </c>
      <c r="V345" s="76"/>
      <c r="W345" s="76">
        <v>0.82</v>
      </c>
      <c r="X345" s="77">
        <f>L345+30</f>
        <v>1855</v>
      </c>
      <c r="Y345" s="78"/>
      <c r="Z345" s="79"/>
      <c r="AA345" s="69"/>
      <c r="AB345" s="68"/>
      <c r="AC345" s="68"/>
      <c r="AD345" s="68"/>
      <c r="AE345" s="80"/>
      <c r="AF345" s="80"/>
      <c r="AG345" s="80"/>
      <c r="AH345" s="80"/>
      <c r="AI345" s="81" t="s">
        <v>445</v>
      </c>
      <c r="AJ345" s="81" t="s">
        <v>411</v>
      </c>
      <c r="AK345" s="81">
        <v>1959.06</v>
      </c>
      <c r="AL345" s="81" t="s">
        <v>412</v>
      </c>
      <c r="AM345" s="81" t="s">
        <v>440</v>
      </c>
    </row>
    <row r="346" spans="1:39" s="82" customFormat="1" x14ac:dyDescent="0.3">
      <c r="A346" s="67">
        <v>30</v>
      </c>
      <c r="B346" s="68"/>
      <c r="C346" s="68"/>
      <c r="D346" s="68">
        <v>0</v>
      </c>
      <c r="E346" s="68"/>
      <c r="F346" s="68">
        <v>0</v>
      </c>
      <c r="G346" s="69"/>
      <c r="H346" s="68"/>
      <c r="I346" s="69"/>
      <c r="J346" s="69"/>
      <c r="K346" s="70">
        <v>3</v>
      </c>
      <c r="L346" s="68">
        <v>1400</v>
      </c>
      <c r="M346" s="71">
        <v>4</v>
      </c>
      <c r="N346" s="72"/>
      <c r="O346" s="84">
        <v>1400</v>
      </c>
      <c r="P346" s="73">
        <v>1</v>
      </c>
      <c r="Q346" s="84">
        <v>0</v>
      </c>
      <c r="R346" s="74"/>
      <c r="S346" s="74"/>
      <c r="T346" s="75"/>
      <c r="U346" s="75"/>
      <c r="V346" s="76"/>
      <c r="W346" s="76"/>
      <c r="X346" s="77"/>
      <c r="Y346" s="78"/>
      <c r="Z346" s="79"/>
      <c r="AA346" s="69"/>
      <c r="AB346" s="68"/>
      <c r="AC346" s="68"/>
      <c r="AD346" s="68"/>
      <c r="AE346" s="80"/>
      <c r="AF346" s="80"/>
      <c r="AG346" s="80"/>
      <c r="AH346" s="80"/>
      <c r="AI346" s="81" t="s">
        <v>447</v>
      </c>
      <c r="AJ346" s="81" t="s">
        <v>411</v>
      </c>
      <c r="AK346" s="81">
        <v>1959.06</v>
      </c>
      <c r="AL346" s="81" t="s">
        <v>412</v>
      </c>
      <c r="AM346" s="81" t="s">
        <v>440</v>
      </c>
    </row>
    <row r="347" spans="1:39" s="82" customFormat="1" x14ac:dyDescent="0.3">
      <c r="A347" s="67">
        <v>30</v>
      </c>
      <c r="B347" s="68"/>
      <c r="C347" s="68"/>
      <c r="D347" s="68">
        <v>1</v>
      </c>
      <c r="E347" s="68">
        <v>4</v>
      </c>
      <c r="F347" s="68">
        <v>0</v>
      </c>
      <c r="G347" s="69"/>
      <c r="H347" s="68"/>
      <c r="I347" s="69"/>
      <c r="J347" s="69"/>
      <c r="K347" s="70">
        <v>3</v>
      </c>
      <c r="L347" s="68">
        <f>4*365</f>
        <v>1460</v>
      </c>
      <c r="M347" s="71">
        <v>4</v>
      </c>
      <c r="N347" s="72"/>
      <c r="O347" s="84"/>
      <c r="P347" s="73"/>
      <c r="Q347" s="84">
        <v>0</v>
      </c>
      <c r="R347" s="74"/>
      <c r="S347" s="74"/>
      <c r="T347" s="75"/>
      <c r="U347" s="75"/>
      <c r="V347" s="76"/>
      <c r="W347" s="76">
        <v>1</v>
      </c>
      <c r="X347" s="77">
        <v>1490</v>
      </c>
      <c r="Y347" s="78"/>
      <c r="Z347" s="79"/>
      <c r="AA347" s="69"/>
      <c r="AB347" s="68"/>
      <c r="AC347" s="68"/>
      <c r="AD347" s="68"/>
      <c r="AE347" s="80"/>
      <c r="AF347" s="80"/>
      <c r="AG347" s="80"/>
      <c r="AH347" s="80"/>
      <c r="AI347" s="81" t="s">
        <v>447</v>
      </c>
      <c r="AJ347" s="81" t="s">
        <v>411</v>
      </c>
      <c r="AK347" s="81">
        <v>1959.06</v>
      </c>
      <c r="AL347" s="81" t="s">
        <v>412</v>
      </c>
      <c r="AM347" s="81" t="s">
        <v>440</v>
      </c>
    </row>
    <row r="348" spans="1:39" s="82" customFormat="1" x14ac:dyDescent="0.3">
      <c r="A348" s="67">
        <v>30</v>
      </c>
      <c r="B348" s="68"/>
      <c r="C348" s="68"/>
      <c r="D348" s="68">
        <v>2</v>
      </c>
      <c r="E348" s="68">
        <v>4</v>
      </c>
      <c r="F348" s="68">
        <v>0</v>
      </c>
      <c r="G348" s="69"/>
      <c r="H348" s="68"/>
      <c r="I348" s="69"/>
      <c r="J348" s="69"/>
      <c r="K348" s="70">
        <v>3</v>
      </c>
      <c r="L348" s="68">
        <f>5*365</f>
        <v>1825</v>
      </c>
      <c r="M348" s="71">
        <v>4</v>
      </c>
      <c r="N348" s="72"/>
      <c r="O348" s="84">
        <f>4*365+30</f>
        <v>1490</v>
      </c>
      <c r="P348" s="73">
        <v>1</v>
      </c>
      <c r="Q348" s="84">
        <v>0</v>
      </c>
      <c r="R348" s="74"/>
      <c r="S348" s="74"/>
      <c r="T348" s="75"/>
      <c r="U348" s="75"/>
      <c r="V348" s="76"/>
      <c r="W348" s="76">
        <v>1</v>
      </c>
      <c r="X348" s="77">
        <f>L348+30</f>
        <v>1855</v>
      </c>
      <c r="Y348" s="78"/>
      <c r="Z348" s="79"/>
      <c r="AA348" s="69"/>
      <c r="AB348" s="68"/>
      <c r="AC348" s="68"/>
      <c r="AD348" s="68"/>
      <c r="AE348" s="80"/>
      <c r="AF348" s="80"/>
      <c r="AG348" s="80"/>
      <c r="AH348" s="80"/>
      <c r="AI348" s="81" t="s">
        <v>447</v>
      </c>
      <c r="AJ348" s="81" t="s">
        <v>411</v>
      </c>
      <c r="AK348" s="81">
        <v>1959.06</v>
      </c>
      <c r="AL348" s="81" t="s">
        <v>412</v>
      </c>
      <c r="AM348" s="81" t="s">
        <v>440</v>
      </c>
    </row>
    <row r="349" spans="1:39" s="82" customFormat="1" x14ac:dyDescent="0.3">
      <c r="A349" s="67">
        <v>54</v>
      </c>
      <c r="B349" s="68"/>
      <c r="C349" s="68"/>
      <c r="D349" s="68">
        <v>0</v>
      </c>
      <c r="E349" s="68"/>
      <c r="F349" s="68">
        <v>0</v>
      </c>
      <c r="G349" s="69"/>
      <c r="H349" s="68"/>
      <c r="I349" s="69"/>
      <c r="J349" s="69"/>
      <c r="K349" s="70">
        <v>3</v>
      </c>
      <c r="L349" s="68">
        <v>1400</v>
      </c>
      <c r="M349" s="71">
        <v>4</v>
      </c>
      <c r="N349" s="72"/>
      <c r="O349" s="84">
        <v>1400</v>
      </c>
      <c r="P349" s="73">
        <v>1</v>
      </c>
      <c r="Q349" s="84">
        <v>0</v>
      </c>
      <c r="R349" s="74"/>
      <c r="S349" s="74"/>
      <c r="T349" s="75"/>
      <c r="U349" s="75"/>
      <c r="V349" s="76"/>
      <c r="W349" s="76"/>
      <c r="X349" s="77"/>
      <c r="Y349" s="78"/>
      <c r="Z349" s="79"/>
      <c r="AA349" s="69"/>
      <c r="AB349" s="68"/>
      <c r="AC349" s="68"/>
      <c r="AD349" s="68"/>
      <c r="AE349" s="80"/>
      <c r="AF349" s="80"/>
      <c r="AG349" s="80"/>
      <c r="AH349" s="80"/>
      <c r="AI349" s="81" t="s">
        <v>446</v>
      </c>
      <c r="AJ349" s="81" t="s">
        <v>411</v>
      </c>
      <c r="AK349" s="81">
        <v>1959.06</v>
      </c>
      <c r="AL349" s="81" t="s">
        <v>412</v>
      </c>
      <c r="AM349" s="81" t="s">
        <v>440</v>
      </c>
    </row>
    <row r="350" spans="1:39" s="82" customFormat="1" x14ac:dyDescent="0.3">
      <c r="A350" s="67">
        <v>54</v>
      </c>
      <c r="B350" s="68"/>
      <c r="C350" s="68"/>
      <c r="D350" s="68">
        <v>1</v>
      </c>
      <c r="E350" s="68">
        <v>4</v>
      </c>
      <c r="F350" s="68">
        <v>0</v>
      </c>
      <c r="G350" s="69"/>
      <c r="H350" s="68"/>
      <c r="I350" s="69"/>
      <c r="J350" s="69"/>
      <c r="K350" s="70">
        <v>3</v>
      </c>
      <c r="L350" s="68">
        <f>4*365</f>
        <v>1460</v>
      </c>
      <c r="M350" s="71">
        <v>4</v>
      </c>
      <c r="N350" s="72"/>
      <c r="O350" s="84"/>
      <c r="P350" s="73"/>
      <c r="Q350" s="84">
        <v>0</v>
      </c>
      <c r="R350" s="74"/>
      <c r="S350" s="74"/>
      <c r="T350" s="75"/>
      <c r="U350" s="75"/>
      <c r="V350" s="76"/>
      <c r="W350" s="76">
        <v>1</v>
      </c>
      <c r="X350" s="77">
        <v>1490</v>
      </c>
      <c r="Y350" s="78"/>
      <c r="Z350" s="79"/>
      <c r="AA350" s="69"/>
      <c r="AB350" s="68"/>
      <c r="AC350" s="68"/>
      <c r="AD350" s="68"/>
      <c r="AE350" s="80"/>
      <c r="AF350" s="80"/>
      <c r="AG350" s="80"/>
      <c r="AH350" s="80"/>
      <c r="AI350" s="81" t="s">
        <v>446</v>
      </c>
      <c r="AJ350" s="81" t="s">
        <v>411</v>
      </c>
      <c r="AK350" s="81">
        <v>1959.06</v>
      </c>
      <c r="AL350" s="81" t="s">
        <v>412</v>
      </c>
      <c r="AM350" s="81" t="s">
        <v>440</v>
      </c>
    </row>
    <row r="351" spans="1:39" s="82" customFormat="1" x14ac:dyDescent="0.3">
      <c r="A351" s="67">
        <v>54</v>
      </c>
      <c r="B351" s="68"/>
      <c r="C351" s="68"/>
      <c r="D351" s="68">
        <v>2</v>
      </c>
      <c r="E351" s="68">
        <v>4</v>
      </c>
      <c r="F351" s="68">
        <v>0</v>
      </c>
      <c r="G351" s="69"/>
      <c r="H351" s="68"/>
      <c r="I351" s="69"/>
      <c r="J351" s="69"/>
      <c r="K351" s="70">
        <v>3</v>
      </c>
      <c r="L351" s="68">
        <f>5*365</f>
        <v>1825</v>
      </c>
      <c r="M351" s="71">
        <v>4</v>
      </c>
      <c r="N351" s="72"/>
      <c r="O351" s="84">
        <f>4*365+30</f>
        <v>1490</v>
      </c>
      <c r="P351" s="73">
        <v>1</v>
      </c>
      <c r="Q351" s="84">
        <v>0</v>
      </c>
      <c r="R351" s="74"/>
      <c r="S351" s="74"/>
      <c r="T351" s="75"/>
      <c r="U351" s="75"/>
      <c r="V351" s="76"/>
      <c r="W351" s="76">
        <v>1</v>
      </c>
      <c r="X351" s="77">
        <f>L351+30</f>
        <v>1855</v>
      </c>
      <c r="Y351" s="78"/>
      <c r="Z351" s="79"/>
      <c r="AA351" s="69"/>
      <c r="AB351" s="68"/>
      <c r="AC351" s="68"/>
      <c r="AD351" s="68"/>
      <c r="AE351" s="80"/>
      <c r="AF351" s="80"/>
      <c r="AG351" s="80"/>
      <c r="AH351" s="80"/>
      <c r="AI351" s="81" t="s">
        <v>446</v>
      </c>
      <c r="AJ351" s="81" t="s">
        <v>411</v>
      </c>
      <c r="AK351" s="81">
        <v>1959.06</v>
      </c>
      <c r="AL351" s="81" t="s">
        <v>412</v>
      </c>
      <c r="AM351" s="81" t="s">
        <v>440</v>
      </c>
    </row>
    <row r="352" spans="1:39" s="82" customFormat="1" x14ac:dyDescent="0.3">
      <c r="A352" s="67">
        <v>156</v>
      </c>
      <c r="B352" s="68"/>
      <c r="C352" s="68"/>
      <c r="D352" s="68">
        <v>0</v>
      </c>
      <c r="E352" s="68"/>
      <c r="F352" s="68">
        <v>0</v>
      </c>
      <c r="G352" s="69"/>
      <c r="H352" s="68"/>
      <c r="I352" s="69"/>
      <c r="J352" s="69"/>
      <c r="K352" s="70">
        <v>3</v>
      </c>
      <c r="L352" s="68">
        <v>1400</v>
      </c>
      <c r="M352" s="71">
        <v>4</v>
      </c>
      <c r="N352" s="72"/>
      <c r="O352" s="84">
        <v>1400</v>
      </c>
      <c r="P352" s="73">
        <v>0</v>
      </c>
      <c r="Q352" s="84">
        <v>0</v>
      </c>
      <c r="R352" s="74"/>
      <c r="S352" s="74"/>
      <c r="T352" s="75"/>
      <c r="U352" s="75"/>
      <c r="V352" s="76"/>
      <c r="W352" s="76"/>
      <c r="X352" s="77"/>
      <c r="Y352" s="78"/>
      <c r="Z352" s="79"/>
      <c r="AA352" s="69"/>
      <c r="AB352" s="68"/>
      <c r="AC352" s="68"/>
      <c r="AD352" s="68"/>
      <c r="AE352" s="80"/>
      <c r="AF352" s="80"/>
      <c r="AG352" s="80"/>
      <c r="AH352" s="80"/>
      <c r="AI352" s="81" t="s">
        <v>443</v>
      </c>
      <c r="AJ352" s="81" t="s">
        <v>411</v>
      </c>
      <c r="AK352" s="81">
        <v>1959.06</v>
      </c>
      <c r="AL352" s="81" t="s">
        <v>412</v>
      </c>
      <c r="AM352" s="81" t="s">
        <v>440</v>
      </c>
    </row>
    <row r="353" spans="1:39" s="82" customFormat="1" x14ac:dyDescent="0.3">
      <c r="A353" s="67">
        <v>156</v>
      </c>
      <c r="B353" s="68"/>
      <c r="C353" s="68"/>
      <c r="D353" s="68">
        <v>1</v>
      </c>
      <c r="E353" s="68">
        <v>4</v>
      </c>
      <c r="F353" s="68">
        <v>0</v>
      </c>
      <c r="G353" s="69"/>
      <c r="H353" s="68"/>
      <c r="I353" s="69"/>
      <c r="J353" s="69"/>
      <c r="K353" s="70">
        <v>3</v>
      </c>
      <c r="L353" s="68">
        <v>1400</v>
      </c>
      <c r="M353" s="71">
        <v>4</v>
      </c>
      <c r="N353" s="72"/>
      <c r="O353" s="84"/>
      <c r="P353" s="73"/>
      <c r="Q353" s="84">
        <v>0</v>
      </c>
      <c r="R353" s="74"/>
      <c r="S353" s="74"/>
      <c r="T353" s="75">
        <v>1.4</v>
      </c>
      <c r="U353" s="75">
        <v>2.8</v>
      </c>
      <c r="V353" s="76"/>
      <c r="W353" s="76">
        <v>0.19</v>
      </c>
      <c r="X353" s="77">
        <v>1490</v>
      </c>
      <c r="Y353" s="78"/>
      <c r="Z353" s="79"/>
      <c r="AA353" s="69"/>
      <c r="AB353" s="68"/>
      <c r="AC353" s="68"/>
      <c r="AD353" s="68"/>
      <c r="AE353" s="80"/>
      <c r="AF353" s="80"/>
      <c r="AG353" s="80"/>
      <c r="AH353" s="80"/>
      <c r="AI353" s="81" t="s">
        <v>443</v>
      </c>
      <c r="AJ353" s="81" t="s">
        <v>411</v>
      </c>
      <c r="AK353" s="81">
        <v>1959.06</v>
      </c>
      <c r="AL353" s="81" t="s">
        <v>412</v>
      </c>
      <c r="AM353" s="81" t="s">
        <v>440</v>
      </c>
    </row>
    <row r="354" spans="1:39" x14ac:dyDescent="0.3">
      <c r="A354" s="1">
        <v>156</v>
      </c>
      <c r="D354" s="2">
        <v>2</v>
      </c>
      <c r="E354" s="2">
        <v>4</v>
      </c>
      <c r="F354" s="2">
        <v>0</v>
      </c>
      <c r="H354" s="68"/>
      <c r="K354" s="4">
        <v>3</v>
      </c>
      <c r="L354" s="2">
        <f>5*365</f>
        <v>1825</v>
      </c>
      <c r="M354" s="5">
        <v>4</v>
      </c>
      <c r="O354" s="17">
        <f>4*365+30</f>
        <v>1490</v>
      </c>
      <c r="P354" s="7">
        <v>0.19</v>
      </c>
      <c r="Q354" s="84">
        <v>0</v>
      </c>
      <c r="R354" s="8">
        <v>1.4</v>
      </c>
      <c r="S354" s="8">
        <v>2.8</v>
      </c>
      <c r="T354" s="9">
        <v>3.1</v>
      </c>
      <c r="U354" s="9">
        <v>9.4</v>
      </c>
      <c r="W354" s="10">
        <v>0.43</v>
      </c>
      <c r="X354" s="11">
        <f>L354+30</f>
        <v>1855</v>
      </c>
      <c r="AI354" s="15" t="s">
        <v>443</v>
      </c>
      <c r="AJ354" s="15" t="s">
        <v>411</v>
      </c>
      <c r="AK354" s="15">
        <v>1959.06</v>
      </c>
      <c r="AL354" s="15" t="s">
        <v>412</v>
      </c>
      <c r="AM354" s="15" t="s">
        <v>440</v>
      </c>
    </row>
    <row r="355" spans="1:39" x14ac:dyDescent="0.3">
      <c r="A355" s="1">
        <v>0</v>
      </c>
      <c r="B355" s="2">
        <v>20</v>
      </c>
      <c r="D355" s="2">
        <v>3</v>
      </c>
      <c r="E355" s="2">
        <v>20</v>
      </c>
      <c r="F355" s="2">
        <v>0</v>
      </c>
      <c r="H355" s="68"/>
      <c r="K355" s="4">
        <v>1</v>
      </c>
      <c r="L355" s="2">
        <f>4*365</f>
        <v>1460</v>
      </c>
      <c r="N355" s="6">
        <v>5.3</v>
      </c>
      <c r="Q355" s="84">
        <v>0</v>
      </c>
      <c r="Y355" s="12">
        <f>15/20</f>
        <v>0.75</v>
      </c>
      <c r="AB355" s="2">
        <v>21.3</v>
      </c>
      <c r="AC355" s="2">
        <v>159</v>
      </c>
      <c r="AD355" s="68" t="s">
        <v>427</v>
      </c>
      <c r="AI355" s="15" t="s">
        <v>437</v>
      </c>
      <c r="AJ355" s="15" t="s">
        <v>411</v>
      </c>
      <c r="AK355" s="15">
        <v>1959.08</v>
      </c>
      <c r="AL355" s="15" t="s">
        <v>412</v>
      </c>
      <c r="AM355" s="15" t="s">
        <v>441</v>
      </c>
    </row>
    <row r="356" spans="1:39" x14ac:dyDescent="0.3">
      <c r="A356" s="1">
        <v>0</v>
      </c>
      <c r="B356" s="2">
        <v>17</v>
      </c>
      <c r="D356" s="2">
        <v>3</v>
      </c>
      <c r="E356" s="2">
        <v>20</v>
      </c>
      <c r="F356" s="2">
        <v>0</v>
      </c>
      <c r="H356" s="68"/>
      <c r="K356" s="4">
        <v>1</v>
      </c>
      <c r="L356" s="2">
        <f>4*365</f>
        <v>1460</v>
      </c>
      <c r="N356" s="6">
        <v>5.3</v>
      </c>
      <c r="Q356" s="84">
        <v>0</v>
      </c>
      <c r="Y356" s="12">
        <f>7/17</f>
        <v>0.41176470588235292</v>
      </c>
      <c r="AB356" s="2">
        <v>11.4</v>
      </c>
      <c r="AC356" s="2">
        <v>23</v>
      </c>
      <c r="AD356" s="68" t="s">
        <v>420</v>
      </c>
      <c r="AI356" s="15" t="s">
        <v>438</v>
      </c>
      <c r="AJ356" s="15" t="s">
        <v>411</v>
      </c>
      <c r="AK356" s="15">
        <v>1959.08</v>
      </c>
      <c r="AL356" s="15" t="s">
        <v>412</v>
      </c>
      <c r="AM356" s="15" t="s">
        <v>441</v>
      </c>
    </row>
    <row r="357" spans="1:39" x14ac:dyDescent="0.3">
      <c r="A357" s="1">
        <v>0</v>
      </c>
      <c r="B357" s="2">
        <v>15</v>
      </c>
      <c r="D357" s="2">
        <v>3</v>
      </c>
      <c r="E357" s="2">
        <v>2</v>
      </c>
      <c r="F357" s="2">
        <v>0</v>
      </c>
      <c r="H357" s="68"/>
      <c r="K357" s="4">
        <v>2</v>
      </c>
      <c r="L357" s="2">
        <f>L356+60</f>
        <v>1520</v>
      </c>
      <c r="N357" s="6">
        <v>5.0999999999999996</v>
      </c>
      <c r="Q357" s="84">
        <v>0</v>
      </c>
      <c r="Y357" s="12">
        <f>15/15</f>
        <v>1</v>
      </c>
      <c r="AB357" s="2">
        <v>25.2</v>
      </c>
      <c r="AC357" s="2">
        <v>191</v>
      </c>
      <c r="AD357" s="68" t="s">
        <v>427</v>
      </c>
      <c r="AI357" s="15" t="s">
        <v>437</v>
      </c>
      <c r="AJ357" s="15" t="s">
        <v>411</v>
      </c>
      <c r="AK357" s="15">
        <v>1959.08</v>
      </c>
      <c r="AL357" s="15" t="s">
        <v>412</v>
      </c>
      <c r="AM357" s="15" t="s">
        <v>441</v>
      </c>
    </row>
    <row r="358" spans="1:39" x14ac:dyDescent="0.3">
      <c r="A358" s="1">
        <v>0</v>
      </c>
      <c r="B358" s="2">
        <v>13</v>
      </c>
      <c r="D358" s="2">
        <v>3</v>
      </c>
      <c r="E358" s="2">
        <v>2</v>
      </c>
      <c r="F358" s="2">
        <v>0</v>
      </c>
      <c r="H358" s="68"/>
      <c r="K358" s="4">
        <v>2</v>
      </c>
      <c r="L358" s="2">
        <f>L357+60</f>
        <v>1580</v>
      </c>
      <c r="N358" s="6">
        <v>5.0999999999999996</v>
      </c>
      <c r="Q358" s="84">
        <v>0</v>
      </c>
      <c r="Y358" s="12">
        <f>5/13</f>
        <v>0.38461538461538464</v>
      </c>
      <c r="AB358" s="2">
        <v>7.2</v>
      </c>
      <c r="AC358" s="2">
        <v>12</v>
      </c>
      <c r="AD358" s="68" t="s">
        <v>420</v>
      </c>
      <c r="AI358" s="15" t="s">
        <v>438</v>
      </c>
      <c r="AJ358" s="15" t="s">
        <v>411</v>
      </c>
      <c r="AK358" s="15">
        <v>1959.08</v>
      </c>
      <c r="AL358" s="15" t="s">
        <v>412</v>
      </c>
      <c r="AM358" s="15" t="s">
        <v>441</v>
      </c>
    </row>
    <row r="359" spans="1:39" x14ac:dyDescent="0.3">
      <c r="A359" s="1">
        <v>0</v>
      </c>
      <c r="B359" s="2">
        <v>16</v>
      </c>
      <c r="D359" s="2">
        <v>3</v>
      </c>
      <c r="E359" s="2">
        <v>4</v>
      </c>
      <c r="F359" s="2">
        <v>0</v>
      </c>
      <c r="H359" s="68"/>
      <c r="K359" s="4">
        <v>3</v>
      </c>
      <c r="L359" s="2">
        <f>L358+60</f>
        <v>1640</v>
      </c>
      <c r="N359" s="6">
        <v>5.0999999999999996</v>
      </c>
      <c r="Q359" s="84">
        <v>0</v>
      </c>
      <c r="Y359" s="12">
        <f>16/16</f>
        <v>1</v>
      </c>
      <c r="AB359" s="2">
        <v>32.299999999999997</v>
      </c>
      <c r="AC359" s="2">
        <v>166</v>
      </c>
      <c r="AD359" s="68" t="s">
        <v>427</v>
      </c>
      <c r="AI359" s="15" t="s">
        <v>437</v>
      </c>
      <c r="AJ359" s="15" t="s">
        <v>411</v>
      </c>
      <c r="AK359" s="15">
        <v>1959.08</v>
      </c>
      <c r="AL359" s="15" t="s">
        <v>412</v>
      </c>
      <c r="AM359" s="15" t="s">
        <v>441</v>
      </c>
    </row>
    <row r="360" spans="1:39" x14ac:dyDescent="0.3">
      <c r="A360" s="1">
        <v>0</v>
      </c>
      <c r="B360" s="2">
        <v>14</v>
      </c>
      <c r="D360" s="2">
        <v>3</v>
      </c>
      <c r="E360" s="2">
        <v>8</v>
      </c>
      <c r="F360" s="2">
        <v>0</v>
      </c>
      <c r="K360" s="4">
        <v>3</v>
      </c>
      <c r="L360" s="2">
        <f>L359+60</f>
        <v>1700</v>
      </c>
      <c r="N360" s="6">
        <v>5.0999999999999996</v>
      </c>
      <c r="Q360" s="84">
        <v>0</v>
      </c>
      <c r="Y360" s="12">
        <f>5/14</f>
        <v>0.35714285714285715</v>
      </c>
      <c r="AB360" s="2">
        <v>13.2</v>
      </c>
      <c r="AC360" s="2">
        <v>17</v>
      </c>
      <c r="AD360" s="68" t="s">
        <v>420</v>
      </c>
      <c r="AI360" s="15" t="s">
        <v>438</v>
      </c>
      <c r="AJ360" s="15" t="s">
        <v>411</v>
      </c>
      <c r="AK360" s="15">
        <v>1959.08</v>
      </c>
      <c r="AL360" s="15" t="s">
        <v>412</v>
      </c>
      <c r="AM360" s="15" t="s">
        <v>441</v>
      </c>
    </row>
    <row r="361" spans="1:39" x14ac:dyDescent="0.3">
      <c r="A361" s="1">
        <v>10</v>
      </c>
      <c r="D361" s="2">
        <v>0</v>
      </c>
      <c r="F361" s="2">
        <v>0</v>
      </c>
      <c r="H361" s="2">
        <v>0</v>
      </c>
      <c r="I361" s="3">
        <v>10.3</v>
      </c>
      <c r="J361" s="3">
        <v>0</v>
      </c>
      <c r="K361" s="4">
        <v>1</v>
      </c>
      <c r="L361" s="2">
        <v>30</v>
      </c>
      <c r="O361" s="17">
        <v>30</v>
      </c>
      <c r="Q361" s="84">
        <v>0</v>
      </c>
      <c r="R361" s="8">
        <f>LOG(280)/LOG(2)</f>
        <v>8.1292830169449672</v>
      </c>
      <c r="S361" s="8">
        <v>0.25</v>
      </c>
      <c r="AI361" s="15" t="s">
        <v>452</v>
      </c>
      <c r="AJ361" s="15" t="s">
        <v>411</v>
      </c>
      <c r="AK361" s="15">
        <v>1960</v>
      </c>
      <c r="AL361" s="15" t="s">
        <v>412</v>
      </c>
      <c r="AM361" s="15" t="s">
        <v>450</v>
      </c>
    </row>
    <row r="362" spans="1:39" x14ac:dyDescent="0.3">
      <c r="A362" s="1">
        <v>13</v>
      </c>
      <c r="D362" s="2">
        <v>0</v>
      </c>
      <c r="F362" s="2">
        <v>0</v>
      </c>
      <c r="H362" s="2">
        <v>0</v>
      </c>
      <c r="I362" s="3">
        <v>10.3</v>
      </c>
      <c r="J362" s="3">
        <v>0</v>
      </c>
      <c r="K362" s="4">
        <v>1</v>
      </c>
      <c r="L362" s="2">
        <v>60</v>
      </c>
      <c r="O362" s="17">
        <v>60</v>
      </c>
      <c r="Q362" s="84">
        <v>0</v>
      </c>
      <c r="R362" s="8">
        <f>LOG(160)/LOG(2)</f>
        <v>7.3219280948873617</v>
      </c>
      <c r="S362" s="8">
        <v>0.25</v>
      </c>
      <c r="AI362" s="15" t="s">
        <v>452</v>
      </c>
      <c r="AJ362" s="15" t="s">
        <v>411</v>
      </c>
      <c r="AK362" s="15">
        <v>1960</v>
      </c>
      <c r="AL362" s="15" t="s">
        <v>412</v>
      </c>
      <c r="AM362" s="15" t="s">
        <v>450</v>
      </c>
    </row>
    <row r="363" spans="1:39" x14ac:dyDescent="0.3">
      <c r="A363" s="1">
        <v>8</v>
      </c>
      <c r="D363" s="2">
        <v>0</v>
      </c>
      <c r="F363" s="2">
        <v>0</v>
      </c>
      <c r="H363" s="2">
        <v>0</v>
      </c>
      <c r="I363" s="3">
        <v>10.3</v>
      </c>
      <c r="J363" s="3">
        <v>0</v>
      </c>
      <c r="K363" s="4">
        <v>1</v>
      </c>
      <c r="L363" s="2">
        <v>90</v>
      </c>
      <c r="O363" s="17">
        <v>90</v>
      </c>
      <c r="Q363" s="84">
        <v>0</v>
      </c>
      <c r="R363" s="8">
        <f>LOG(60)/LOG(2)</f>
        <v>5.9068905956085187</v>
      </c>
      <c r="S363" s="8">
        <v>0.25</v>
      </c>
      <c r="AI363" s="15" t="s">
        <v>452</v>
      </c>
      <c r="AJ363" s="15" t="s">
        <v>411</v>
      </c>
      <c r="AK363" s="15">
        <v>1960</v>
      </c>
      <c r="AL363" s="15" t="s">
        <v>412</v>
      </c>
      <c r="AM363" s="15" t="s">
        <v>450</v>
      </c>
    </row>
    <row r="364" spans="1:39" x14ac:dyDescent="0.3">
      <c r="A364" s="1">
        <v>12</v>
      </c>
      <c r="D364" s="2">
        <v>0</v>
      </c>
      <c r="F364" s="2">
        <v>0</v>
      </c>
      <c r="H364" s="2">
        <v>0</v>
      </c>
      <c r="I364" s="3">
        <v>10.3</v>
      </c>
      <c r="J364" s="3">
        <v>0</v>
      </c>
      <c r="K364" s="4">
        <v>1</v>
      </c>
      <c r="L364" s="2">
        <v>120</v>
      </c>
      <c r="O364" s="17">
        <v>120</v>
      </c>
      <c r="Q364" s="84">
        <v>0</v>
      </c>
      <c r="R364" s="8">
        <f>LOG(23)/LOG(2)</f>
        <v>4.5235619560570131</v>
      </c>
      <c r="S364" s="8">
        <v>0.25</v>
      </c>
      <c r="AI364" s="15" t="s">
        <v>452</v>
      </c>
      <c r="AJ364" s="15" t="s">
        <v>411</v>
      </c>
      <c r="AK364" s="15">
        <v>1960</v>
      </c>
      <c r="AL364" s="15" t="s">
        <v>412</v>
      </c>
      <c r="AM364" s="15" t="s">
        <v>450</v>
      </c>
    </row>
    <row r="365" spans="1:39" x14ac:dyDescent="0.3">
      <c r="A365" s="1">
        <v>9</v>
      </c>
      <c r="D365" s="2">
        <v>0</v>
      </c>
      <c r="F365" s="2">
        <v>0</v>
      </c>
      <c r="H365" s="2">
        <v>0</v>
      </c>
      <c r="I365" s="3">
        <v>10.3</v>
      </c>
      <c r="J365" s="3">
        <v>0</v>
      </c>
      <c r="K365" s="4">
        <v>1</v>
      </c>
      <c r="L365" s="2">
        <v>150</v>
      </c>
      <c r="O365" s="17">
        <v>150</v>
      </c>
      <c r="Q365" s="84">
        <v>0</v>
      </c>
      <c r="R365" s="8">
        <f>LOG(13)/LOG(2)</f>
        <v>3.7004397181410922</v>
      </c>
      <c r="S365" s="8">
        <v>0.25</v>
      </c>
      <c r="AI365" s="15" t="s">
        <v>452</v>
      </c>
      <c r="AJ365" s="15" t="s">
        <v>411</v>
      </c>
      <c r="AK365" s="15">
        <v>1960</v>
      </c>
      <c r="AL365" s="15" t="s">
        <v>412</v>
      </c>
      <c r="AM365" s="15" t="s">
        <v>450</v>
      </c>
    </row>
    <row r="366" spans="1:39" x14ac:dyDescent="0.3">
      <c r="A366" s="1">
        <v>8</v>
      </c>
      <c r="B366" s="68"/>
      <c r="D366" s="2">
        <v>0</v>
      </c>
      <c r="F366" s="2">
        <v>0</v>
      </c>
      <c r="H366" s="2">
        <v>0</v>
      </c>
      <c r="I366" s="3">
        <v>10.3</v>
      </c>
      <c r="J366" s="3">
        <v>0</v>
      </c>
      <c r="K366" s="4">
        <v>1</v>
      </c>
      <c r="L366" s="2">
        <v>180</v>
      </c>
      <c r="O366" s="17">
        <v>180</v>
      </c>
      <c r="Q366" s="84">
        <v>0</v>
      </c>
      <c r="R366" s="8">
        <f>LOG(6)/LOG(2)</f>
        <v>2.5849625007211561</v>
      </c>
      <c r="S366" s="8">
        <v>0.25</v>
      </c>
      <c r="AI366" s="15" t="s">
        <v>452</v>
      </c>
      <c r="AJ366" s="15" t="s">
        <v>411</v>
      </c>
      <c r="AK366" s="15">
        <v>1960</v>
      </c>
      <c r="AL366" s="15" t="s">
        <v>412</v>
      </c>
      <c r="AM366" s="15" t="s">
        <v>450</v>
      </c>
    </row>
    <row r="367" spans="1:39" x14ac:dyDescent="0.3">
      <c r="A367" s="1">
        <v>10</v>
      </c>
      <c r="B367" s="68"/>
      <c r="D367" s="2">
        <v>0</v>
      </c>
      <c r="F367" s="2">
        <v>0</v>
      </c>
      <c r="H367" s="2">
        <v>0</v>
      </c>
      <c r="I367" s="3">
        <v>10.3</v>
      </c>
      <c r="J367" s="3">
        <v>0</v>
      </c>
      <c r="K367" s="4">
        <v>1</v>
      </c>
      <c r="L367" s="2">
        <v>210</v>
      </c>
      <c r="O367" s="17">
        <v>210</v>
      </c>
      <c r="Q367" s="84">
        <v>0</v>
      </c>
      <c r="R367" s="8">
        <f>LOG(4)/LOG(2)</f>
        <v>2</v>
      </c>
      <c r="S367" s="8">
        <v>0.25</v>
      </c>
      <c r="AI367" s="15" t="s">
        <v>452</v>
      </c>
      <c r="AJ367" s="15" t="s">
        <v>411</v>
      </c>
      <c r="AK367" s="15">
        <v>1960</v>
      </c>
      <c r="AL367" s="15" t="s">
        <v>412</v>
      </c>
      <c r="AM367" s="15" t="s">
        <v>450</v>
      </c>
    </row>
    <row r="368" spans="1:39" x14ac:dyDescent="0.3">
      <c r="A368" s="1">
        <v>8</v>
      </c>
      <c r="D368" s="2">
        <v>0</v>
      </c>
      <c r="F368" s="2">
        <v>0</v>
      </c>
      <c r="H368" s="2">
        <v>0</v>
      </c>
      <c r="I368" s="3">
        <v>10.3</v>
      </c>
      <c r="J368" s="3">
        <v>0</v>
      </c>
      <c r="K368" s="4">
        <v>1</v>
      </c>
      <c r="L368" s="2">
        <v>240</v>
      </c>
      <c r="O368" s="17">
        <v>240</v>
      </c>
      <c r="Q368" s="84">
        <v>0</v>
      </c>
      <c r="R368" s="8">
        <f>LOG(1)/LOG(2)</f>
        <v>0</v>
      </c>
      <c r="S368" s="8">
        <v>0.25</v>
      </c>
      <c r="AI368" s="15" t="s">
        <v>452</v>
      </c>
      <c r="AJ368" s="15" t="s">
        <v>411</v>
      </c>
      <c r="AK368" s="15">
        <v>1960</v>
      </c>
      <c r="AL368" s="15" t="s">
        <v>412</v>
      </c>
      <c r="AM368" s="15" t="s">
        <v>450</v>
      </c>
    </row>
    <row r="369" spans="1:39" x14ac:dyDescent="0.3">
      <c r="A369" s="1">
        <v>8</v>
      </c>
      <c r="D369" s="2">
        <v>0</v>
      </c>
      <c r="F369" s="2">
        <v>0</v>
      </c>
      <c r="H369" s="2">
        <v>0</v>
      </c>
      <c r="I369" s="3">
        <v>10.3</v>
      </c>
      <c r="J369" s="3">
        <v>0</v>
      </c>
      <c r="K369" s="4">
        <v>1</v>
      </c>
      <c r="L369" s="2">
        <v>270</v>
      </c>
      <c r="O369" s="17">
        <v>270</v>
      </c>
      <c r="Q369" s="84">
        <v>0</v>
      </c>
      <c r="R369" s="8">
        <f>LOG(1)/LOG(2)</f>
        <v>0</v>
      </c>
      <c r="S369" s="8">
        <v>0.25</v>
      </c>
      <c r="AI369" s="15" t="s">
        <v>452</v>
      </c>
      <c r="AJ369" s="15" t="s">
        <v>411</v>
      </c>
      <c r="AK369" s="15">
        <v>1960</v>
      </c>
      <c r="AL369" s="15" t="s">
        <v>412</v>
      </c>
      <c r="AM369" s="15" t="s">
        <v>450</v>
      </c>
    </row>
    <row r="370" spans="1:39" x14ac:dyDescent="0.3">
      <c r="A370" s="1">
        <v>8</v>
      </c>
      <c r="B370" s="68"/>
      <c r="D370" s="2">
        <v>0</v>
      </c>
      <c r="F370" s="2">
        <v>0</v>
      </c>
      <c r="H370" s="2">
        <v>0</v>
      </c>
      <c r="I370" s="3">
        <v>7.3</v>
      </c>
      <c r="J370" s="3">
        <v>0</v>
      </c>
      <c r="K370" s="4">
        <v>1</v>
      </c>
      <c r="L370" s="2">
        <v>30</v>
      </c>
      <c r="O370" s="17">
        <v>30</v>
      </c>
      <c r="Q370" s="84">
        <v>0</v>
      </c>
      <c r="R370" s="8">
        <f>LOG(40)/LOG(2)</f>
        <v>5.3219280948873617</v>
      </c>
      <c r="S370" s="8">
        <v>0.25</v>
      </c>
      <c r="AI370" s="15" t="s">
        <v>455</v>
      </c>
      <c r="AJ370" s="15" t="s">
        <v>411</v>
      </c>
      <c r="AK370" s="15">
        <v>1960</v>
      </c>
      <c r="AL370" s="15" t="s">
        <v>412</v>
      </c>
      <c r="AM370" s="15" t="s">
        <v>450</v>
      </c>
    </row>
    <row r="371" spans="1:39" x14ac:dyDescent="0.3">
      <c r="A371" s="1">
        <v>16</v>
      </c>
      <c r="B371" s="68"/>
      <c r="D371" s="2">
        <v>0</v>
      </c>
      <c r="F371" s="2">
        <v>0</v>
      </c>
      <c r="H371" s="2">
        <v>0</v>
      </c>
      <c r="I371" s="3">
        <v>7.3</v>
      </c>
      <c r="J371" s="3">
        <v>0</v>
      </c>
      <c r="K371" s="4">
        <v>1</v>
      </c>
      <c r="L371" s="68">
        <v>60</v>
      </c>
      <c r="O371" s="17">
        <v>60</v>
      </c>
      <c r="Q371" s="84">
        <v>0</v>
      </c>
      <c r="R371" s="8">
        <f>LOG(26)/LOG(2)</f>
        <v>4.7004397181410917</v>
      </c>
      <c r="S371" s="8">
        <v>0.25</v>
      </c>
      <c r="AI371" s="81" t="s">
        <v>455</v>
      </c>
      <c r="AJ371" s="81" t="s">
        <v>411</v>
      </c>
      <c r="AK371" s="15">
        <v>1960</v>
      </c>
      <c r="AL371" s="81" t="s">
        <v>412</v>
      </c>
      <c r="AM371" s="15" t="s">
        <v>450</v>
      </c>
    </row>
    <row r="372" spans="1:39" x14ac:dyDescent="0.3">
      <c r="A372" s="1">
        <v>14</v>
      </c>
      <c r="D372" s="68">
        <v>0</v>
      </c>
      <c r="F372" s="68">
        <v>0</v>
      </c>
      <c r="H372" s="2">
        <v>0</v>
      </c>
      <c r="I372" s="3">
        <v>7.3</v>
      </c>
      <c r="J372" s="3">
        <v>0</v>
      </c>
      <c r="K372" s="4">
        <v>1</v>
      </c>
      <c r="L372" s="68">
        <v>90</v>
      </c>
      <c r="O372" s="17">
        <v>90</v>
      </c>
      <c r="Q372" s="84">
        <v>0</v>
      </c>
      <c r="R372" s="8">
        <f>LOG(9)/LOG(2)</f>
        <v>3.1699250014423122</v>
      </c>
      <c r="S372" s="8">
        <v>0.25</v>
      </c>
      <c r="X372" s="77"/>
      <c r="AI372" s="81" t="s">
        <v>455</v>
      </c>
      <c r="AJ372" s="81" t="s">
        <v>411</v>
      </c>
      <c r="AK372" s="81">
        <v>1960</v>
      </c>
      <c r="AL372" s="81" t="s">
        <v>412</v>
      </c>
      <c r="AM372" s="15" t="s">
        <v>450</v>
      </c>
    </row>
    <row r="373" spans="1:39" x14ac:dyDescent="0.3">
      <c r="A373" s="1">
        <v>17</v>
      </c>
      <c r="D373" s="68">
        <v>0</v>
      </c>
      <c r="F373" s="68">
        <v>0</v>
      </c>
      <c r="H373" s="2">
        <v>0</v>
      </c>
      <c r="I373" s="3">
        <v>7.3</v>
      </c>
      <c r="J373" s="3">
        <v>0</v>
      </c>
      <c r="K373" s="4">
        <v>1</v>
      </c>
      <c r="L373" s="68">
        <v>120</v>
      </c>
      <c r="O373" s="17">
        <v>120</v>
      </c>
      <c r="Q373" s="84">
        <v>0</v>
      </c>
      <c r="R373" s="8">
        <f>LOG(3)/LOG(2)</f>
        <v>1.5849625007211561</v>
      </c>
      <c r="S373" s="8">
        <v>0.25</v>
      </c>
      <c r="X373" s="77"/>
      <c r="AI373" s="81" t="s">
        <v>455</v>
      </c>
      <c r="AJ373" s="81" t="s">
        <v>411</v>
      </c>
      <c r="AK373" s="81">
        <v>1960</v>
      </c>
      <c r="AL373" s="81" t="s">
        <v>412</v>
      </c>
      <c r="AM373" s="15" t="s">
        <v>450</v>
      </c>
    </row>
    <row r="374" spans="1:39" x14ac:dyDescent="0.3">
      <c r="A374" s="1">
        <v>17</v>
      </c>
      <c r="B374" s="68"/>
      <c r="D374" s="68">
        <v>0</v>
      </c>
      <c r="F374" s="68">
        <v>0</v>
      </c>
      <c r="G374" s="69"/>
      <c r="H374" s="2">
        <v>0</v>
      </c>
      <c r="I374" s="3">
        <v>7.3</v>
      </c>
      <c r="J374" s="3">
        <v>0</v>
      </c>
      <c r="K374" s="70">
        <v>1</v>
      </c>
      <c r="L374" s="68">
        <v>150</v>
      </c>
      <c r="N374" s="72"/>
      <c r="O374" s="17">
        <v>150</v>
      </c>
      <c r="Q374" s="84">
        <v>0</v>
      </c>
      <c r="R374" s="8">
        <f>LOG(1)/LOG(2)</f>
        <v>0</v>
      </c>
      <c r="S374" s="8">
        <v>0.25</v>
      </c>
      <c r="X374" s="77"/>
      <c r="AI374" s="81" t="s">
        <v>455</v>
      </c>
      <c r="AJ374" s="81" t="s">
        <v>411</v>
      </c>
      <c r="AK374" s="81">
        <v>1960</v>
      </c>
      <c r="AL374" s="81" t="s">
        <v>412</v>
      </c>
      <c r="AM374" s="15" t="s">
        <v>450</v>
      </c>
    </row>
    <row r="375" spans="1:39" s="82" customFormat="1" x14ac:dyDescent="0.3">
      <c r="A375" s="67">
        <v>15</v>
      </c>
      <c r="B375" s="68"/>
      <c r="C375" s="68"/>
      <c r="D375" s="68">
        <v>0</v>
      </c>
      <c r="E375" s="68"/>
      <c r="F375" s="68">
        <v>0</v>
      </c>
      <c r="G375" s="69"/>
      <c r="H375" s="68">
        <v>0</v>
      </c>
      <c r="I375" s="69">
        <v>7.3</v>
      </c>
      <c r="J375" s="69">
        <v>0</v>
      </c>
      <c r="K375" s="70">
        <v>1</v>
      </c>
      <c r="L375" s="68">
        <v>180</v>
      </c>
      <c r="M375" s="71"/>
      <c r="N375" s="72"/>
      <c r="O375" s="84">
        <v>180</v>
      </c>
      <c r="P375" s="73"/>
      <c r="Q375" s="84">
        <v>0</v>
      </c>
      <c r="R375" s="74">
        <f>LOG(1)/LOG(2)</f>
        <v>0</v>
      </c>
      <c r="S375" s="74">
        <v>0.25</v>
      </c>
      <c r="T375" s="75"/>
      <c r="U375" s="75"/>
      <c r="V375" s="76"/>
      <c r="W375" s="76"/>
      <c r="X375" s="77"/>
      <c r="Y375" s="78"/>
      <c r="Z375" s="79"/>
      <c r="AA375" s="69"/>
      <c r="AB375" s="68"/>
      <c r="AC375" s="68"/>
      <c r="AD375" s="68"/>
      <c r="AE375" s="80"/>
      <c r="AF375" s="80"/>
      <c r="AG375" s="80"/>
      <c r="AH375" s="80"/>
      <c r="AI375" s="81" t="s">
        <v>455</v>
      </c>
      <c r="AJ375" s="81" t="s">
        <v>411</v>
      </c>
      <c r="AK375" s="81">
        <v>1960</v>
      </c>
      <c r="AL375" s="81" t="s">
        <v>412</v>
      </c>
      <c r="AM375" s="81" t="s">
        <v>450</v>
      </c>
    </row>
    <row r="376" spans="1:39" s="82" customFormat="1" x14ac:dyDescent="0.3">
      <c r="A376" s="67">
        <v>19</v>
      </c>
      <c r="B376" s="68"/>
      <c r="C376" s="68"/>
      <c r="D376" s="68">
        <v>0</v>
      </c>
      <c r="E376" s="68"/>
      <c r="F376" s="68">
        <v>0</v>
      </c>
      <c r="G376" s="69"/>
      <c r="H376" s="68">
        <v>0</v>
      </c>
      <c r="I376" s="69">
        <v>8.3000000000000007</v>
      </c>
      <c r="J376" s="69">
        <v>0</v>
      </c>
      <c r="K376" s="70">
        <v>1</v>
      </c>
      <c r="L376" s="68">
        <v>30</v>
      </c>
      <c r="M376" s="71"/>
      <c r="N376" s="72"/>
      <c r="O376" s="84">
        <v>30</v>
      </c>
      <c r="P376" s="73"/>
      <c r="Q376" s="84">
        <v>0</v>
      </c>
      <c r="R376" s="74">
        <f>LOG(70)/LOG(2)</f>
        <v>6.1292830169449664</v>
      </c>
      <c r="S376" s="74">
        <v>0.25</v>
      </c>
      <c r="T376" s="75"/>
      <c r="U376" s="75"/>
      <c r="V376" s="76"/>
      <c r="W376" s="76"/>
      <c r="X376" s="77"/>
      <c r="Y376" s="78"/>
      <c r="Z376" s="79"/>
      <c r="AA376" s="69"/>
      <c r="AB376" s="68"/>
      <c r="AC376" s="68"/>
      <c r="AD376" s="68"/>
      <c r="AE376" s="80"/>
      <c r="AF376" s="80"/>
      <c r="AG376" s="80"/>
      <c r="AH376" s="80"/>
      <c r="AI376" s="81" t="s">
        <v>454</v>
      </c>
      <c r="AJ376" s="81" t="s">
        <v>411</v>
      </c>
      <c r="AK376" s="81">
        <v>1960</v>
      </c>
      <c r="AL376" s="81" t="s">
        <v>412</v>
      </c>
      <c r="AM376" s="81" t="s">
        <v>450</v>
      </c>
    </row>
    <row r="377" spans="1:39" s="82" customFormat="1" x14ac:dyDescent="0.3">
      <c r="A377" s="67">
        <v>33</v>
      </c>
      <c r="B377" s="68"/>
      <c r="C377" s="68"/>
      <c r="D377" s="68">
        <v>0</v>
      </c>
      <c r="E377" s="68"/>
      <c r="F377" s="68">
        <v>0</v>
      </c>
      <c r="G377" s="69"/>
      <c r="H377" s="68">
        <v>0</v>
      </c>
      <c r="I377" s="69">
        <v>8.3000000000000007</v>
      </c>
      <c r="J377" s="69">
        <v>0</v>
      </c>
      <c r="K377" s="70">
        <v>1</v>
      </c>
      <c r="L377" s="68">
        <v>60</v>
      </c>
      <c r="M377" s="71"/>
      <c r="N377" s="72"/>
      <c r="O377" s="84">
        <v>60</v>
      </c>
      <c r="P377" s="73"/>
      <c r="Q377" s="84">
        <v>0</v>
      </c>
      <c r="R377" s="74">
        <f>LOG(40)/LOG(2)</f>
        <v>5.3219280948873617</v>
      </c>
      <c r="S377" s="74">
        <v>0.25</v>
      </c>
      <c r="T377" s="75"/>
      <c r="U377" s="75"/>
      <c r="V377" s="76"/>
      <c r="W377" s="76"/>
      <c r="X377" s="77"/>
      <c r="Y377" s="78"/>
      <c r="Z377" s="79"/>
      <c r="AA377" s="69"/>
      <c r="AB377" s="68"/>
      <c r="AC377" s="68"/>
      <c r="AD377" s="68"/>
      <c r="AE377" s="80"/>
      <c r="AF377" s="80"/>
      <c r="AG377" s="80"/>
      <c r="AH377" s="80"/>
      <c r="AI377" s="81" t="s">
        <v>454</v>
      </c>
      <c r="AJ377" s="81" t="s">
        <v>411</v>
      </c>
      <c r="AK377" s="81">
        <v>1960</v>
      </c>
      <c r="AL377" s="81" t="s">
        <v>412</v>
      </c>
      <c r="AM377" s="81" t="s">
        <v>450</v>
      </c>
    </row>
    <row r="378" spans="1:39" s="82" customFormat="1" x14ac:dyDescent="0.3">
      <c r="A378" s="67">
        <v>27</v>
      </c>
      <c r="B378" s="68"/>
      <c r="C378" s="68"/>
      <c r="D378" s="68">
        <v>0</v>
      </c>
      <c r="E378" s="68"/>
      <c r="F378" s="68">
        <v>0</v>
      </c>
      <c r="G378" s="69"/>
      <c r="H378" s="68">
        <v>0</v>
      </c>
      <c r="I378" s="69">
        <v>8.3000000000000007</v>
      </c>
      <c r="J378" s="69">
        <v>0</v>
      </c>
      <c r="K378" s="70">
        <v>1</v>
      </c>
      <c r="L378" s="68">
        <v>90</v>
      </c>
      <c r="M378" s="71"/>
      <c r="N378" s="72"/>
      <c r="O378" s="84">
        <v>90</v>
      </c>
      <c r="P378" s="73"/>
      <c r="Q378" s="84">
        <v>0</v>
      </c>
      <c r="R378" s="74">
        <f>LOG(17)/LOG(2)</f>
        <v>4.0874628412503391</v>
      </c>
      <c r="S378" s="74">
        <v>0.25</v>
      </c>
      <c r="T378" s="75"/>
      <c r="U378" s="75"/>
      <c r="V378" s="76"/>
      <c r="W378" s="76"/>
      <c r="X378" s="77"/>
      <c r="Y378" s="78"/>
      <c r="Z378" s="79"/>
      <c r="AA378" s="69"/>
      <c r="AB378" s="68"/>
      <c r="AC378" s="68"/>
      <c r="AD378" s="68"/>
      <c r="AE378" s="80"/>
      <c r="AF378" s="80"/>
      <c r="AG378" s="80"/>
      <c r="AH378" s="80"/>
      <c r="AI378" s="81" t="s">
        <v>454</v>
      </c>
      <c r="AJ378" s="81" t="s">
        <v>411</v>
      </c>
      <c r="AK378" s="81">
        <v>1960</v>
      </c>
      <c r="AL378" s="81" t="s">
        <v>412</v>
      </c>
      <c r="AM378" s="81" t="s">
        <v>450</v>
      </c>
    </row>
    <row r="379" spans="1:39" s="82" customFormat="1" x14ac:dyDescent="0.3">
      <c r="A379" s="67">
        <v>29</v>
      </c>
      <c r="B379" s="68"/>
      <c r="C379" s="68"/>
      <c r="D379" s="68">
        <v>0</v>
      </c>
      <c r="E379" s="68"/>
      <c r="F379" s="68">
        <v>0</v>
      </c>
      <c r="G379" s="69"/>
      <c r="H379" s="68">
        <v>0</v>
      </c>
      <c r="I379" s="69">
        <v>8.3000000000000007</v>
      </c>
      <c r="J379" s="69">
        <v>0</v>
      </c>
      <c r="K379" s="70">
        <v>1</v>
      </c>
      <c r="L379" s="68">
        <v>120</v>
      </c>
      <c r="M379" s="71"/>
      <c r="N379" s="72"/>
      <c r="O379" s="84">
        <v>120</v>
      </c>
      <c r="P379" s="73"/>
      <c r="Q379" s="84">
        <v>0</v>
      </c>
      <c r="R379" s="74">
        <f>LOG(7)/LOG(2)</f>
        <v>2.8073549220576042</v>
      </c>
      <c r="S379" s="74">
        <v>0.25</v>
      </c>
      <c r="T379" s="75"/>
      <c r="U379" s="75"/>
      <c r="V379" s="76"/>
      <c r="W379" s="76"/>
      <c r="X379" s="77"/>
      <c r="Y379" s="78"/>
      <c r="Z379" s="79"/>
      <c r="AA379" s="69"/>
      <c r="AB379" s="68"/>
      <c r="AC379" s="68"/>
      <c r="AD379" s="68"/>
      <c r="AE379" s="80"/>
      <c r="AF379" s="80"/>
      <c r="AG379" s="80"/>
      <c r="AH379" s="80"/>
      <c r="AI379" s="81" t="s">
        <v>454</v>
      </c>
      <c r="AJ379" s="81" t="s">
        <v>411</v>
      </c>
      <c r="AK379" s="81">
        <v>1960</v>
      </c>
      <c r="AL379" s="81" t="s">
        <v>412</v>
      </c>
      <c r="AM379" s="81" t="s">
        <v>450</v>
      </c>
    </row>
    <row r="380" spans="1:39" s="82" customFormat="1" x14ac:dyDescent="0.3">
      <c r="A380" s="67">
        <v>35</v>
      </c>
      <c r="B380" s="68"/>
      <c r="C380" s="68"/>
      <c r="D380" s="68">
        <v>0</v>
      </c>
      <c r="E380" s="68"/>
      <c r="F380" s="68">
        <v>0</v>
      </c>
      <c r="G380" s="69"/>
      <c r="H380" s="68">
        <v>0</v>
      </c>
      <c r="I380" s="69">
        <v>8.3000000000000007</v>
      </c>
      <c r="J380" s="69">
        <v>0</v>
      </c>
      <c r="K380" s="70">
        <v>1</v>
      </c>
      <c r="L380" s="68">
        <v>150</v>
      </c>
      <c r="M380" s="71"/>
      <c r="N380" s="72"/>
      <c r="O380" s="84">
        <v>150</v>
      </c>
      <c r="P380" s="73"/>
      <c r="Q380" s="84">
        <v>0</v>
      </c>
      <c r="R380" s="74">
        <f>LOG(4)/LOG(2)</f>
        <v>2</v>
      </c>
      <c r="S380" s="74">
        <v>0.25</v>
      </c>
      <c r="T380" s="75"/>
      <c r="U380" s="75"/>
      <c r="V380" s="76"/>
      <c r="W380" s="76"/>
      <c r="X380" s="77"/>
      <c r="Y380" s="78"/>
      <c r="Z380" s="79"/>
      <c r="AA380" s="69"/>
      <c r="AB380" s="68"/>
      <c r="AC380" s="68"/>
      <c r="AD380" s="68"/>
      <c r="AE380" s="80"/>
      <c r="AF380" s="80"/>
      <c r="AG380" s="80"/>
      <c r="AH380" s="80"/>
      <c r="AI380" s="81" t="s">
        <v>454</v>
      </c>
      <c r="AJ380" s="81" t="s">
        <v>411</v>
      </c>
      <c r="AK380" s="81">
        <v>1960</v>
      </c>
      <c r="AL380" s="81" t="s">
        <v>412</v>
      </c>
      <c r="AM380" s="81" t="s">
        <v>450</v>
      </c>
    </row>
    <row r="381" spans="1:39" s="82" customFormat="1" x14ac:dyDescent="0.3">
      <c r="A381" s="67">
        <v>29</v>
      </c>
      <c r="B381" s="68"/>
      <c r="C381" s="68"/>
      <c r="D381" s="68">
        <v>0</v>
      </c>
      <c r="E381" s="68"/>
      <c r="F381" s="68">
        <v>0</v>
      </c>
      <c r="G381" s="69"/>
      <c r="H381" s="68">
        <v>0</v>
      </c>
      <c r="I381" s="69">
        <v>8.3000000000000007</v>
      </c>
      <c r="J381" s="69">
        <v>0</v>
      </c>
      <c r="K381" s="70">
        <v>1</v>
      </c>
      <c r="L381" s="68">
        <v>180</v>
      </c>
      <c r="M381" s="71"/>
      <c r="N381" s="72"/>
      <c r="O381" s="84">
        <v>180</v>
      </c>
      <c r="P381" s="73"/>
      <c r="Q381" s="84">
        <v>0</v>
      </c>
      <c r="R381" s="74">
        <f>LOG(1)/LOG(2)</f>
        <v>0</v>
      </c>
      <c r="S381" s="74">
        <v>0.25</v>
      </c>
      <c r="T381" s="75"/>
      <c r="U381" s="75"/>
      <c r="V381" s="76"/>
      <c r="W381" s="76"/>
      <c r="X381" s="77"/>
      <c r="Y381" s="78"/>
      <c r="Z381" s="79"/>
      <c r="AA381" s="69"/>
      <c r="AB381" s="68"/>
      <c r="AC381" s="68"/>
      <c r="AD381" s="68"/>
      <c r="AE381" s="80"/>
      <c r="AF381" s="80"/>
      <c r="AG381" s="80"/>
      <c r="AH381" s="80"/>
      <c r="AI381" s="81" t="s">
        <v>454</v>
      </c>
      <c r="AJ381" s="81" t="s">
        <v>411</v>
      </c>
      <c r="AK381" s="81">
        <v>1960</v>
      </c>
      <c r="AL381" s="81" t="s">
        <v>412</v>
      </c>
      <c r="AM381" s="81" t="s">
        <v>450</v>
      </c>
    </row>
    <row r="382" spans="1:39" s="82" customFormat="1" x14ac:dyDescent="0.3">
      <c r="A382" s="67">
        <v>29</v>
      </c>
      <c r="B382" s="68"/>
      <c r="C382" s="68"/>
      <c r="D382" s="68">
        <v>0</v>
      </c>
      <c r="E382" s="68"/>
      <c r="F382" s="68">
        <v>0</v>
      </c>
      <c r="G382" s="69"/>
      <c r="H382" s="68">
        <v>0</v>
      </c>
      <c r="I382" s="69">
        <v>8.3000000000000007</v>
      </c>
      <c r="J382" s="69">
        <v>0</v>
      </c>
      <c r="K382" s="70">
        <v>1</v>
      </c>
      <c r="L382" s="68">
        <v>210</v>
      </c>
      <c r="M382" s="71"/>
      <c r="N382" s="72"/>
      <c r="O382" s="84">
        <v>210</v>
      </c>
      <c r="P382" s="73"/>
      <c r="Q382" s="84">
        <v>0</v>
      </c>
      <c r="R382" s="74">
        <f>LOG(1)/LOG(2)</f>
        <v>0</v>
      </c>
      <c r="S382" s="74">
        <v>0.25</v>
      </c>
      <c r="T382" s="75"/>
      <c r="U382" s="75"/>
      <c r="V382" s="76"/>
      <c r="W382" s="76"/>
      <c r="X382" s="77"/>
      <c r="Y382" s="78"/>
      <c r="Z382" s="79"/>
      <c r="AA382" s="69"/>
      <c r="AB382" s="68"/>
      <c r="AC382" s="68"/>
      <c r="AD382" s="68"/>
      <c r="AE382" s="80"/>
      <c r="AF382" s="80"/>
      <c r="AG382" s="80"/>
      <c r="AH382" s="80"/>
      <c r="AI382" s="81" t="s">
        <v>454</v>
      </c>
      <c r="AJ382" s="81" t="s">
        <v>411</v>
      </c>
      <c r="AK382" s="81">
        <v>1960</v>
      </c>
      <c r="AL382" s="81" t="s">
        <v>412</v>
      </c>
      <c r="AM382" s="81" t="s">
        <v>450</v>
      </c>
    </row>
    <row r="383" spans="1:39" s="82" customFormat="1" x14ac:dyDescent="0.3">
      <c r="A383" s="67">
        <v>8</v>
      </c>
      <c r="B383" s="68"/>
      <c r="C383" s="68"/>
      <c r="D383" s="68">
        <v>0</v>
      </c>
      <c r="E383" s="68"/>
      <c r="F383" s="68">
        <v>0</v>
      </c>
      <c r="G383" s="69"/>
      <c r="H383" s="68">
        <v>0</v>
      </c>
      <c r="I383" s="69">
        <v>5.3</v>
      </c>
      <c r="J383" s="69">
        <v>0</v>
      </c>
      <c r="K383" s="70">
        <v>1</v>
      </c>
      <c r="L383" s="68">
        <v>30</v>
      </c>
      <c r="M383" s="71"/>
      <c r="N383" s="72"/>
      <c r="O383" s="84">
        <v>30</v>
      </c>
      <c r="P383" s="73"/>
      <c r="Q383" s="84">
        <v>0</v>
      </c>
      <c r="R383" s="74">
        <f>LOG(20)/LOG(2)</f>
        <v>4.3219280948873626</v>
      </c>
      <c r="S383" s="74">
        <v>0.25</v>
      </c>
      <c r="T383" s="75"/>
      <c r="U383" s="75"/>
      <c r="V383" s="76"/>
      <c r="W383" s="76"/>
      <c r="X383" s="77"/>
      <c r="Y383" s="78"/>
      <c r="Z383" s="79"/>
      <c r="AA383" s="69"/>
      <c r="AB383" s="68"/>
      <c r="AC383" s="68"/>
      <c r="AD383" s="68"/>
      <c r="AE383" s="80"/>
      <c r="AF383" s="80"/>
      <c r="AG383" s="80"/>
      <c r="AH383" s="80"/>
      <c r="AI383" s="81" t="s">
        <v>457</v>
      </c>
      <c r="AJ383" s="81" t="s">
        <v>411</v>
      </c>
      <c r="AK383" s="81">
        <v>1960</v>
      </c>
      <c r="AL383" s="81" t="s">
        <v>412</v>
      </c>
      <c r="AM383" s="81" t="s">
        <v>450</v>
      </c>
    </row>
    <row r="384" spans="1:39" s="82" customFormat="1" x14ac:dyDescent="0.3">
      <c r="A384" s="67">
        <v>15</v>
      </c>
      <c r="B384" s="68"/>
      <c r="C384" s="68"/>
      <c r="D384" s="68">
        <v>0</v>
      </c>
      <c r="E384" s="68"/>
      <c r="F384" s="68">
        <v>0</v>
      </c>
      <c r="G384" s="69"/>
      <c r="H384" s="68">
        <v>0</v>
      </c>
      <c r="I384" s="69">
        <v>5.3</v>
      </c>
      <c r="J384" s="69">
        <v>0</v>
      </c>
      <c r="K384" s="70">
        <v>1</v>
      </c>
      <c r="L384" s="68">
        <v>60</v>
      </c>
      <c r="M384" s="71"/>
      <c r="N384" s="72"/>
      <c r="O384" s="84">
        <v>60</v>
      </c>
      <c r="P384" s="73"/>
      <c r="Q384" s="84">
        <v>0</v>
      </c>
      <c r="R384" s="74">
        <f>LOG(5)/LOG(2)</f>
        <v>2.3219280948873626</v>
      </c>
      <c r="S384" s="74">
        <v>0.25</v>
      </c>
      <c r="T384" s="75"/>
      <c r="U384" s="75"/>
      <c r="V384" s="76"/>
      <c r="W384" s="76"/>
      <c r="X384" s="77"/>
      <c r="Y384" s="78"/>
      <c r="Z384" s="79"/>
      <c r="AA384" s="69"/>
      <c r="AB384" s="68"/>
      <c r="AC384" s="68"/>
      <c r="AD384" s="68"/>
      <c r="AE384" s="80"/>
      <c r="AF384" s="80"/>
      <c r="AG384" s="80"/>
      <c r="AH384" s="80"/>
      <c r="AI384" s="81" t="s">
        <v>457</v>
      </c>
      <c r="AJ384" s="81" t="s">
        <v>411</v>
      </c>
      <c r="AK384" s="81">
        <v>1960</v>
      </c>
      <c r="AL384" s="81" t="s">
        <v>412</v>
      </c>
      <c r="AM384" s="81" t="s">
        <v>450</v>
      </c>
    </row>
    <row r="385" spans="1:39" s="82" customFormat="1" x14ac:dyDescent="0.3">
      <c r="A385" s="67">
        <v>15</v>
      </c>
      <c r="B385" s="68"/>
      <c r="C385" s="68"/>
      <c r="D385" s="68">
        <v>0</v>
      </c>
      <c r="E385" s="68"/>
      <c r="F385" s="68">
        <v>0</v>
      </c>
      <c r="G385" s="69"/>
      <c r="H385" s="68">
        <v>0</v>
      </c>
      <c r="I385" s="69">
        <v>5.3</v>
      </c>
      <c r="J385" s="69">
        <v>0</v>
      </c>
      <c r="K385" s="70">
        <v>1</v>
      </c>
      <c r="L385" s="68">
        <v>90</v>
      </c>
      <c r="M385" s="71"/>
      <c r="N385" s="72"/>
      <c r="O385" s="84">
        <v>90</v>
      </c>
      <c r="P385" s="73"/>
      <c r="Q385" s="84">
        <v>0</v>
      </c>
      <c r="R385" s="74">
        <f>LOG(3)/LOG(2)</f>
        <v>1.5849625007211561</v>
      </c>
      <c r="S385" s="74">
        <v>0.25</v>
      </c>
      <c r="T385" s="75"/>
      <c r="U385" s="75"/>
      <c r="V385" s="76"/>
      <c r="W385" s="76"/>
      <c r="X385" s="77"/>
      <c r="Y385" s="78"/>
      <c r="Z385" s="79"/>
      <c r="AA385" s="69"/>
      <c r="AB385" s="68"/>
      <c r="AC385" s="68"/>
      <c r="AD385" s="68"/>
      <c r="AE385" s="80"/>
      <c r="AF385" s="80"/>
      <c r="AG385" s="80"/>
      <c r="AH385" s="80"/>
      <c r="AI385" s="81" t="s">
        <v>457</v>
      </c>
      <c r="AJ385" s="81" t="s">
        <v>411</v>
      </c>
      <c r="AK385" s="81">
        <v>1960</v>
      </c>
      <c r="AL385" s="81" t="s">
        <v>412</v>
      </c>
      <c r="AM385" s="81" t="s">
        <v>450</v>
      </c>
    </row>
    <row r="386" spans="1:39" s="82" customFormat="1" x14ac:dyDescent="0.3">
      <c r="A386" s="67">
        <v>15</v>
      </c>
      <c r="B386" s="68"/>
      <c r="C386" s="68"/>
      <c r="D386" s="68">
        <v>0</v>
      </c>
      <c r="E386" s="68"/>
      <c r="F386" s="68">
        <v>0</v>
      </c>
      <c r="G386" s="69"/>
      <c r="H386" s="68">
        <v>0</v>
      </c>
      <c r="I386" s="69">
        <v>5.3</v>
      </c>
      <c r="J386" s="69">
        <v>0</v>
      </c>
      <c r="K386" s="70">
        <v>1</v>
      </c>
      <c r="L386" s="68">
        <v>120</v>
      </c>
      <c r="M386" s="71"/>
      <c r="N386" s="72"/>
      <c r="O386" s="84">
        <v>120</v>
      </c>
      <c r="P386" s="73"/>
      <c r="Q386" s="84">
        <v>0</v>
      </c>
      <c r="R386" s="74">
        <f>LOG(1)/LOG(2)</f>
        <v>0</v>
      </c>
      <c r="S386" s="74">
        <v>0.25</v>
      </c>
      <c r="T386" s="75"/>
      <c r="U386" s="75"/>
      <c r="V386" s="76"/>
      <c r="W386" s="76"/>
      <c r="X386" s="77"/>
      <c r="Y386" s="78"/>
      <c r="Z386" s="79"/>
      <c r="AA386" s="69"/>
      <c r="AB386" s="68"/>
      <c r="AC386" s="68"/>
      <c r="AD386" s="68"/>
      <c r="AE386" s="80"/>
      <c r="AF386" s="80"/>
      <c r="AG386" s="80"/>
      <c r="AH386" s="80"/>
      <c r="AI386" s="81" t="s">
        <v>457</v>
      </c>
      <c r="AJ386" s="81" t="s">
        <v>411</v>
      </c>
      <c r="AK386" s="81">
        <v>1960</v>
      </c>
      <c r="AL386" s="81" t="s">
        <v>412</v>
      </c>
      <c r="AM386" s="81" t="s">
        <v>450</v>
      </c>
    </row>
    <row r="387" spans="1:39" s="82" customFormat="1" x14ac:dyDescent="0.3">
      <c r="A387" s="67">
        <v>17</v>
      </c>
      <c r="B387" s="68"/>
      <c r="C387" s="68"/>
      <c r="D387" s="68">
        <v>0</v>
      </c>
      <c r="E387" s="68"/>
      <c r="F387" s="68">
        <v>0</v>
      </c>
      <c r="G387" s="69"/>
      <c r="H387" s="68">
        <v>0</v>
      </c>
      <c r="I387" s="69">
        <v>5.3</v>
      </c>
      <c r="J387" s="69">
        <v>0</v>
      </c>
      <c r="K387" s="70">
        <v>1</v>
      </c>
      <c r="L387" s="68">
        <v>150</v>
      </c>
      <c r="M387" s="71"/>
      <c r="N387" s="72"/>
      <c r="O387" s="84">
        <v>150</v>
      </c>
      <c r="P387" s="73"/>
      <c r="Q387" s="84">
        <v>0</v>
      </c>
      <c r="R387" s="74">
        <f>LOG(1)/LOG(2)</f>
        <v>0</v>
      </c>
      <c r="S387" s="74">
        <v>0.25</v>
      </c>
      <c r="T387" s="75"/>
      <c r="U387" s="75"/>
      <c r="V387" s="76"/>
      <c r="W387" s="76"/>
      <c r="X387" s="77"/>
      <c r="Y387" s="78"/>
      <c r="Z387" s="79"/>
      <c r="AA387" s="69"/>
      <c r="AB387" s="68"/>
      <c r="AC387" s="68"/>
      <c r="AD387" s="68"/>
      <c r="AE387" s="80"/>
      <c r="AF387" s="80"/>
      <c r="AG387" s="80"/>
      <c r="AH387" s="80"/>
      <c r="AI387" s="81" t="s">
        <v>457</v>
      </c>
      <c r="AJ387" s="81" t="s">
        <v>411</v>
      </c>
      <c r="AK387" s="81">
        <v>1960</v>
      </c>
      <c r="AL387" s="81" t="s">
        <v>412</v>
      </c>
      <c r="AM387" s="81" t="s">
        <v>450</v>
      </c>
    </row>
    <row r="388" spans="1:39" s="82" customFormat="1" x14ac:dyDescent="0.3">
      <c r="A388" s="67">
        <v>10</v>
      </c>
      <c r="B388" s="68"/>
      <c r="C388" s="68"/>
      <c r="D388" s="68">
        <v>0</v>
      </c>
      <c r="E388" s="68"/>
      <c r="F388" s="68">
        <v>0</v>
      </c>
      <c r="G388" s="69"/>
      <c r="H388" s="68">
        <v>0</v>
      </c>
      <c r="I388" s="69">
        <v>9.3000000000000007</v>
      </c>
      <c r="J388" s="69">
        <v>0</v>
      </c>
      <c r="K388" s="70">
        <v>1</v>
      </c>
      <c r="L388" s="68">
        <v>30</v>
      </c>
      <c r="M388" s="71"/>
      <c r="N388" s="72"/>
      <c r="O388" s="84">
        <v>30</v>
      </c>
      <c r="P388" s="73"/>
      <c r="Q388" s="84">
        <v>0</v>
      </c>
      <c r="R388" s="74">
        <f>LOG(210)/LOG(2)</f>
        <v>7.7142455176661215</v>
      </c>
      <c r="S388" s="74">
        <v>0.25</v>
      </c>
      <c r="T388" s="75"/>
      <c r="U388" s="75"/>
      <c r="V388" s="76"/>
      <c r="W388" s="76"/>
      <c r="X388" s="77"/>
      <c r="Y388" s="78"/>
      <c r="Z388" s="79"/>
      <c r="AA388" s="69"/>
      <c r="AB388" s="68"/>
      <c r="AC388" s="68"/>
      <c r="AD388" s="68"/>
      <c r="AE388" s="80"/>
      <c r="AF388" s="80"/>
      <c r="AG388" s="80"/>
      <c r="AH388" s="80"/>
      <c r="AI388" s="81" t="s">
        <v>453</v>
      </c>
      <c r="AJ388" s="81" t="s">
        <v>411</v>
      </c>
      <c r="AK388" s="81">
        <v>1960</v>
      </c>
      <c r="AL388" s="81" t="s">
        <v>412</v>
      </c>
      <c r="AM388" s="81" t="s">
        <v>450</v>
      </c>
    </row>
    <row r="389" spans="1:39" s="82" customFormat="1" x14ac:dyDescent="0.3">
      <c r="A389" s="67">
        <v>9</v>
      </c>
      <c r="B389" s="68"/>
      <c r="C389" s="68"/>
      <c r="D389" s="68">
        <v>0</v>
      </c>
      <c r="E389" s="68"/>
      <c r="F389" s="68">
        <v>0</v>
      </c>
      <c r="G389" s="69"/>
      <c r="H389" s="68">
        <v>0</v>
      </c>
      <c r="I389" s="69">
        <v>9.3000000000000007</v>
      </c>
      <c r="J389" s="69">
        <v>0</v>
      </c>
      <c r="K389" s="70">
        <v>1</v>
      </c>
      <c r="L389" s="68">
        <v>60</v>
      </c>
      <c r="M389" s="71"/>
      <c r="N389" s="72"/>
      <c r="O389" s="84">
        <v>60</v>
      </c>
      <c r="P389" s="73"/>
      <c r="Q389" s="84">
        <v>0</v>
      </c>
      <c r="R389" s="74">
        <f>LOG(120)/LOG(2)</f>
        <v>6.9068905956085178</v>
      </c>
      <c r="S389" s="74">
        <v>0.25</v>
      </c>
      <c r="T389" s="75"/>
      <c r="U389" s="75"/>
      <c r="V389" s="76"/>
      <c r="W389" s="76"/>
      <c r="X389" s="77"/>
      <c r="Y389" s="78"/>
      <c r="Z389" s="79"/>
      <c r="AA389" s="69"/>
      <c r="AB389" s="68"/>
      <c r="AC389" s="68"/>
      <c r="AD389" s="68"/>
      <c r="AE389" s="80"/>
      <c r="AF389" s="80"/>
      <c r="AG389" s="80"/>
      <c r="AH389" s="80"/>
      <c r="AI389" s="81" t="s">
        <v>453</v>
      </c>
      <c r="AJ389" s="81" t="s">
        <v>411</v>
      </c>
      <c r="AK389" s="81">
        <v>1960</v>
      </c>
      <c r="AL389" s="81" t="s">
        <v>412</v>
      </c>
      <c r="AM389" s="81" t="s">
        <v>450</v>
      </c>
    </row>
    <row r="390" spans="1:39" s="82" customFormat="1" x14ac:dyDescent="0.3">
      <c r="A390" s="67">
        <v>10</v>
      </c>
      <c r="B390" s="68"/>
      <c r="C390" s="68"/>
      <c r="D390" s="68">
        <v>0</v>
      </c>
      <c r="E390" s="68"/>
      <c r="F390" s="68">
        <v>0</v>
      </c>
      <c r="G390" s="69"/>
      <c r="H390" s="68">
        <v>0</v>
      </c>
      <c r="I390" s="69">
        <v>9.3000000000000007</v>
      </c>
      <c r="J390" s="69">
        <v>0</v>
      </c>
      <c r="K390" s="70">
        <v>1</v>
      </c>
      <c r="L390" s="68">
        <v>90</v>
      </c>
      <c r="M390" s="71"/>
      <c r="N390" s="72"/>
      <c r="O390" s="84">
        <v>90</v>
      </c>
      <c r="P390" s="73"/>
      <c r="Q390" s="84">
        <v>0</v>
      </c>
      <c r="R390" s="74">
        <f>LOG(60)/LOG(2)</f>
        <v>5.9068905956085187</v>
      </c>
      <c r="S390" s="74">
        <v>0.25</v>
      </c>
      <c r="T390" s="75"/>
      <c r="U390" s="75"/>
      <c r="V390" s="76"/>
      <c r="W390" s="76"/>
      <c r="X390" s="77"/>
      <c r="Y390" s="78"/>
      <c r="Z390" s="79"/>
      <c r="AA390" s="69"/>
      <c r="AB390" s="68"/>
      <c r="AC390" s="68"/>
      <c r="AD390" s="68"/>
      <c r="AE390" s="80"/>
      <c r="AF390" s="80"/>
      <c r="AG390" s="80"/>
      <c r="AH390" s="80"/>
      <c r="AI390" s="81" t="s">
        <v>453</v>
      </c>
      <c r="AJ390" s="81" t="s">
        <v>411</v>
      </c>
      <c r="AK390" s="81">
        <v>1960</v>
      </c>
      <c r="AL390" s="81" t="s">
        <v>412</v>
      </c>
      <c r="AM390" s="81" t="s">
        <v>450</v>
      </c>
    </row>
    <row r="391" spans="1:39" s="82" customFormat="1" x14ac:dyDescent="0.3">
      <c r="A391" s="67">
        <v>10</v>
      </c>
      <c r="B391" s="68"/>
      <c r="C391" s="68"/>
      <c r="D391" s="68">
        <v>0</v>
      </c>
      <c r="E391" s="68"/>
      <c r="F391" s="68">
        <v>0</v>
      </c>
      <c r="G391" s="69"/>
      <c r="H391" s="68">
        <v>0</v>
      </c>
      <c r="I391" s="69">
        <v>9.3000000000000007</v>
      </c>
      <c r="J391" s="69">
        <v>0</v>
      </c>
      <c r="K391" s="70">
        <v>1</v>
      </c>
      <c r="L391" s="68">
        <v>120</v>
      </c>
      <c r="M391" s="71"/>
      <c r="N391" s="72"/>
      <c r="O391" s="84">
        <v>120</v>
      </c>
      <c r="P391" s="73"/>
      <c r="Q391" s="84">
        <v>0</v>
      </c>
      <c r="R391" s="74">
        <f>LOG(26)/LOG(2)</f>
        <v>4.7004397181410917</v>
      </c>
      <c r="S391" s="74">
        <v>0.25</v>
      </c>
      <c r="T391" s="75"/>
      <c r="U391" s="75"/>
      <c r="V391" s="76"/>
      <c r="W391" s="76"/>
      <c r="X391" s="77"/>
      <c r="Y391" s="78"/>
      <c r="Z391" s="79"/>
      <c r="AA391" s="69"/>
      <c r="AB391" s="68"/>
      <c r="AC391" s="68"/>
      <c r="AD391" s="68"/>
      <c r="AE391" s="80"/>
      <c r="AF391" s="80"/>
      <c r="AG391" s="80"/>
      <c r="AH391" s="80"/>
      <c r="AI391" s="81" t="s">
        <v>453</v>
      </c>
      <c r="AJ391" s="81" t="s">
        <v>411</v>
      </c>
      <c r="AK391" s="81">
        <v>1960</v>
      </c>
      <c r="AL391" s="81" t="s">
        <v>412</v>
      </c>
      <c r="AM391" s="81" t="s">
        <v>450</v>
      </c>
    </row>
    <row r="392" spans="1:39" s="82" customFormat="1" x14ac:dyDescent="0.3">
      <c r="A392" s="67">
        <v>11</v>
      </c>
      <c r="B392" s="68"/>
      <c r="C392" s="68"/>
      <c r="D392" s="68">
        <v>0</v>
      </c>
      <c r="E392" s="68"/>
      <c r="F392" s="68">
        <v>0</v>
      </c>
      <c r="G392" s="69"/>
      <c r="H392" s="68">
        <v>0</v>
      </c>
      <c r="I392" s="69">
        <v>9.3000000000000007</v>
      </c>
      <c r="J392" s="69">
        <v>0</v>
      </c>
      <c r="K392" s="70">
        <v>1</v>
      </c>
      <c r="L392" s="68">
        <v>150</v>
      </c>
      <c r="M392" s="71"/>
      <c r="N392" s="72"/>
      <c r="O392" s="84">
        <v>150</v>
      </c>
      <c r="P392" s="73"/>
      <c r="Q392" s="84">
        <v>0</v>
      </c>
      <c r="R392" s="74">
        <f>LOG(9)/LOG(2)</f>
        <v>3.1699250014423122</v>
      </c>
      <c r="S392" s="74">
        <v>0.25</v>
      </c>
      <c r="T392" s="75"/>
      <c r="U392" s="75"/>
      <c r="V392" s="76"/>
      <c r="W392" s="76"/>
      <c r="X392" s="77"/>
      <c r="Y392" s="78"/>
      <c r="Z392" s="79"/>
      <c r="AA392" s="69"/>
      <c r="AB392" s="68"/>
      <c r="AC392" s="68"/>
      <c r="AD392" s="68"/>
      <c r="AE392" s="80"/>
      <c r="AF392" s="80"/>
      <c r="AG392" s="80"/>
      <c r="AH392" s="80"/>
      <c r="AI392" s="81" t="s">
        <v>453</v>
      </c>
      <c r="AJ392" s="81" t="s">
        <v>411</v>
      </c>
      <c r="AK392" s="81">
        <v>1960</v>
      </c>
      <c r="AL392" s="81" t="s">
        <v>412</v>
      </c>
      <c r="AM392" s="81" t="s">
        <v>450</v>
      </c>
    </row>
    <row r="393" spans="1:39" s="82" customFormat="1" x14ac:dyDescent="0.3">
      <c r="A393" s="67">
        <v>10</v>
      </c>
      <c r="B393" s="68"/>
      <c r="C393" s="68"/>
      <c r="D393" s="68">
        <v>0</v>
      </c>
      <c r="E393" s="68"/>
      <c r="F393" s="68">
        <v>0</v>
      </c>
      <c r="G393" s="69"/>
      <c r="H393" s="68">
        <v>0</v>
      </c>
      <c r="I393" s="69">
        <v>9.3000000000000007</v>
      </c>
      <c r="J393" s="69">
        <v>0</v>
      </c>
      <c r="K393" s="70">
        <v>1</v>
      </c>
      <c r="L393" s="68">
        <v>180</v>
      </c>
      <c r="M393" s="71"/>
      <c r="N393" s="72"/>
      <c r="O393" s="84">
        <v>180</v>
      </c>
      <c r="P393" s="73"/>
      <c r="Q393" s="84">
        <v>0</v>
      </c>
      <c r="R393" s="74">
        <f>LOG(3)/LOG(2)</f>
        <v>1.5849625007211561</v>
      </c>
      <c r="S393" s="74">
        <v>0.25</v>
      </c>
      <c r="T393" s="75"/>
      <c r="U393" s="75"/>
      <c r="V393" s="76"/>
      <c r="W393" s="76"/>
      <c r="X393" s="77"/>
      <c r="Y393" s="78"/>
      <c r="Z393" s="79"/>
      <c r="AA393" s="69"/>
      <c r="AB393" s="68"/>
      <c r="AC393" s="68"/>
      <c r="AD393" s="68"/>
      <c r="AE393" s="80"/>
      <c r="AF393" s="80"/>
      <c r="AG393" s="80"/>
      <c r="AH393" s="80"/>
      <c r="AI393" s="81" t="s">
        <v>453</v>
      </c>
      <c r="AJ393" s="81" t="s">
        <v>411</v>
      </c>
      <c r="AK393" s="81">
        <v>1960</v>
      </c>
      <c r="AL393" s="81" t="s">
        <v>412</v>
      </c>
      <c r="AM393" s="81" t="s">
        <v>450</v>
      </c>
    </row>
    <row r="394" spans="1:39" s="82" customFormat="1" x14ac:dyDescent="0.3">
      <c r="A394" s="67">
        <v>11</v>
      </c>
      <c r="B394" s="68"/>
      <c r="C394" s="68"/>
      <c r="D394" s="68">
        <v>0</v>
      </c>
      <c r="E394" s="68"/>
      <c r="F394" s="68">
        <v>0</v>
      </c>
      <c r="G394" s="69"/>
      <c r="H394" s="68">
        <v>0</v>
      </c>
      <c r="I394" s="69">
        <v>9.3000000000000007</v>
      </c>
      <c r="J394" s="69">
        <v>0</v>
      </c>
      <c r="K394" s="70">
        <v>1</v>
      </c>
      <c r="L394" s="68">
        <v>210</v>
      </c>
      <c r="M394" s="71"/>
      <c r="N394" s="72"/>
      <c r="O394" s="84">
        <v>210</v>
      </c>
      <c r="P394" s="73"/>
      <c r="Q394" s="84">
        <v>0</v>
      </c>
      <c r="R394" s="74">
        <f>LOG(2)/LOG(2)</f>
        <v>1</v>
      </c>
      <c r="S394" s="74">
        <v>0.25</v>
      </c>
      <c r="T394" s="75"/>
      <c r="U394" s="75"/>
      <c r="V394" s="76"/>
      <c r="W394" s="76"/>
      <c r="X394" s="77"/>
      <c r="Y394" s="78"/>
      <c r="Z394" s="79"/>
      <c r="AA394" s="69"/>
      <c r="AB394" s="68"/>
      <c r="AC394" s="68"/>
      <c r="AD394" s="68"/>
      <c r="AE394" s="80"/>
      <c r="AF394" s="80"/>
      <c r="AG394" s="80"/>
      <c r="AH394" s="80"/>
      <c r="AI394" s="81" t="s">
        <v>453</v>
      </c>
      <c r="AJ394" s="81" t="s">
        <v>411</v>
      </c>
      <c r="AK394" s="81">
        <v>1960</v>
      </c>
      <c r="AL394" s="81" t="s">
        <v>412</v>
      </c>
      <c r="AM394" s="81" t="s">
        <v>450</v>
      </c>
    </row>
    <row r="395" spans="1:39" x14ac:dyDescent="0.3">
      <c r="A395" s="1">
        <v>11</v>
      </c>
      <c r="B395" s="68"/>
      <c r="D395" s="2">
        <v>0</v>
      </c>
      <c r="F395" s="2">
        <v>0</v>
      </c>
      <c r="H395" s="2">
        <v>0</v>
      </c>
      <c r="I395" s="3">
        <v>9.3000000000000007</v>
      </c>
      <c r="J395" s="3">
        <v>0</v>
      </c>
      <c r="K395" s="4">
        <v>1</v>
      </c>
      <c r="L395" s="2">
        <v>240</v>
      </c>
      <c r="O395" s="17">
        <v>240</v>
      </c>
      <c r="Q395" s="84">
        <v>0</v>
      </c>
      <c r="R395" s="74">
        <f>LOG(1)/LOG(2)</f>
        <v>0</v>
      </c>
      <c r="S395" s="74">
        <v>0.25</v>
      </c>
      <c r="AI395" s="81" t="s">
        <v>453</v>
      </c>
      <c r="AJ395" s="15" t="s">
        <v>411</v>
      </c>
      <c r="AK395" s="15">
        <v>1960</v>
      </c>
      <c r="AL395" s="15" t="s">
        <v>412</v>
      </c>
      <c r="AM395" s="81" t="s">
        <v>450</v>
      </c>
    </row>
    <row r="396" spans="1:39" x14ac:dyDescent="0.3">
      <c r="A396" s="1">
        <v>10</v>
      </c>
      <c r="D396" s="2">
        <v>0</v>
      </c>
      <c r="F396" s="2">
        <v>0</v>
      </c>
      <c r="H396" s="2">
        <v>0</v>
      </c>
      <c r="I396" s="3">
        <v>9.3000000000000007</v>
      </c>
      <c r="J396" s="3">
        <v>0</v>
      </c>
      <c r="K396" s="4">
        <v>1</v>
      </c>
      <c r="L396" s="2">
        <v>270</v>
      </c>
      <c r="O396" s="17">
        <v>270</v>
      </c>
      <c r="Q396" s="84">
        <v>0</v>
      </c>
      <c r="R396" s="74">
        <f>LOG(1)/LOG(2)</f>
        <v>0</v>
      </c>
      <c r="S396" s="74">
        <v>0.25</v>
      </c>
      <c r="AI396" s="81" t="s">
        <v>453</v>
      </c>
      <c r="AJ396" s="15" t="s">
        <v>411</v>
      </c>
      <c r="AK396" s="15">
        <v>1960</v>
      </c>
      <c r="AL396" s="15" t="s">
        <v>412</v>
      </c>
      <c r="AM396" s="81" t="s">
        <v>450</v>
      </c>
    </row>
    <row r="397" spans="1:39" x14ac:dyDescent="0.3">
      <c r="A397" s="1">
        <v>17</v>
      </c>
      <c r="D397" s="2">
        <v>0</v>
      </c>
      <c r="F397" s="2">
        <v>0</v>
      </c>
      <c r="H397" s="2">
        <v>0</v>
      </c>
      <c r="I397" s="3">
        <v>6.3</v>
      </c>
      <c r="J397" s="3">
        <v>0</v>
      </c>
      <c r="K397" s="4">
        <v>1</v>
      </c>
      <c r="L397" s="2">
        <v>30</v>
      </c>
      <c r="O397" s="17">
        <v>30</v>
      </c>
      <c r="Q397" s="84">
        <v>0</v>
      </c>
      <c r="R397" s="8">
        <f>LOG(22)/LOG(2)</f>
        <v>4.4594316186372973</v>
      </c>
      <c r="S397" s="8">
        <v>0.25</v>
      </c>
      <c r="AI397" s="81" t="s">
        <v>456</v>
      </c>
      <c r="AJ397" s="15" t="s">
        <v>411</v>
      </c>
      <c r="AK397" s="15">
        <v>1960</v>
      </c>
      <c r="AL397" s="15" t="s">
        <v>412</v>
      </c>
      <c r="AM397" s="81" t="s">
        <v>450</v>
      </c>
    </row>
    <row r="398" spans="1:39" s="82" customFormat="1" x14ac:dyDescent="0.3">
      <c r="A398" s="67">
        <v>25</v>
      </c>
      <c r="B398" s="68"/>
      <c r="C398" s="68"/>
      <c r="D398" s="68">
        <v>0</v>
      </c>
      <c r="E398" s="68"/>
      <c r="F398" s="68">
        <v>0</v>
      </c>
      <c r="G398" s="69"/>
      <c r="H398" s="68">
        <v>0</v>
      </c>
      <c r="I398" s="69">
        <v>6.3</v>
      </c>
      <c r="J398" s="69">
        <v>0</v>
      </c>
      <c r="K398" s="70">
        <v>1</v>
      </c>
      <c r="L398" s="68">
        <v>60</v>
      </c>
      <c r="M398" s="71"/>
      <c r="N398" s="72"/>
      <c r="O398" s="84">
        <v>60</v>
      </c>
      <c r="P398" s="73"/>
      <c r="Q398" s="84">
        <v>0</v>
      </c>
      <c r="R398" s="74">
        <f>LOG(10)/LOG(2)</f>
        <v>3.3219280948873622</v>
      </c>
      <c r="S398" s="74">
        <v>0.25</v>
      </c>
      <c r="T398" s="75"/>
      <c r="U398" s="75"/>
      <c r="V398" s="76"/>
      <c r="W398" s="76"/>
      <c r="X398" s="77"/>
      <c r="Y398" s="78"/>
      <c r="Z398" s="79"/>
      <c r="AA398" s="69"/>
      <c r="AB398" s="68"/>
      <c r="AC398" s="68"/>
      <c r="AD398" s="68"/>
      <c r="AE398" s="80"/>
      <c r="AF398" s="80"/>
      <c r="AG398" s="80"/>
      <c r="AH398" s="80"/>
      <c r="AI398" s="81" t="s">
        <v>456</v>
      </c>
      <c r="AJ398" s="81" t="s">
        <v>411</v>
      </c>
      <c r="AK398" s="81">
        <v>1960</v>
      </c>
      <c r="AL398" s="81" t="s">
        <v>412</v>
      </c>
      <c r="AM398" s="81" t="s">
        <v>450</v>
      </c>
    </row>
    <row r="399" spans="1:39" s="82" customFormat="1" x14ac:dyDescent="0.3">
      <c r="A399" s="67">
        <v>25</v>
      </c>
      <c r="B399" s="68"/>
      <c r="C399" s="68"/>
      <c r="D399" s="68">
        <v>0</v>
      </c>
      <c r="E399" s="68"/>
      <c r="F399" s="68">
        <v>0</v>
      </c>
      <c r="G399" s="69"/>
      <c r="H399" s="68">
        <v>0</v>
      </c>
      <c r="I399" s="69">
        <v>6.3</v>
      </c>
      <c r="J399" s="69">
        <v>0</v>
      </c>
      <c r="K399" s="70">
        <v>1</v>
      </c>
      <c r="L399" s="68">
        <v>90</v>
      </c>
      <c r="M399" s="71"/>
      <c r="N399" s="72"/>
      <c r="O399" s="84">
        <v>90</v>
      </c>
      <c r="P399" s="73"/>
      <c r="Q399" s="84">
        <v>0</v>
      </c>
      <c r="R399" s="74">
        <f>LOG(5)/LOG(2)</f>
        <v>2.3219280948873626</v>
      </c>
      <c r="S399" s="74">
        <v>0.25</v>
      </c>
      <c r="T399" s="75"/>
      <c r="U399" s="75"/>
      <c r="V399" s="76"/>
      <c r="W399" s="76"/>
      <c r="X399" s="77"/>
      <c r="Y399" s="78"/>
      <c r="Z399" s="79"/>
      <c r="AA399" s="69"/>
      <c r="AB399" s="68"/>
      <c r="AC399" s="68"/>
      <c r="AD399" s="68"/>
      <c r="AE399" s="80"/>
      <c r="AF399" s="80"/>
      <c r="AG399" s="80"/>
      <c r="AH399" s="80"/>
      <c r="AI399" s="81" t="s">
        <v>456</v>
      </c>
      <c r="AJ399" s="81" t="s">
        <v>411</v>
      </c>
      <c r="AK399" s="81">
        <v>1960</v>
      </c>
      <c r="AL399" s="81" t="s">
        <v>412</v>
      </c>
      <c r="AM399" s="81" t="s">
        <v>450</v>
      </c>
    </row>
    <row r="400" spans="1:39" s="82" customFormat="1" x14ac:dyDescent="0.3">
      <c r="A400" s="67">
        <v>24</v>
      </c>
      <c r="B400" s="68"/>
      <c r="C400" s="68"/>
      <c r="D400" s="68">
        <v>0</v>
      </c>
      <c r="E400" s="68"/>
      <c r="F400" s="68">
        <v>0</v>
      </c>
      <c r="G400" s="69"/>
      <c r="H400" s="68">
        <v>0</v>
      </c>
      <c r="I400" s="69">
        <v>6.3</v>
      </c>
      <c r="J400" s="69">
        <v>0</v>
      </c>
      <c r="K400" s="70">
        <v>1</v>
      </c>
      <c r="L400" s="68">
        <v>120</v>
      </c>
      <c r="M400" s="71"/>
      <c r="N400" s="72"/>
      <c r="O400" s="84">
        <v>120</v>
      </c>
      <c r="P400" s="73"/>
      <c r="Q400" s="84">
        <v>0</v>
      </c>
      <c r="R400" s="74">
        <f>LOG(1)/LOG(2)</f>
        <v>0</v>
      </c>
      <c r="S400" s="74">
        <v>0.25</v>
      </c>
      <c r="T400" s="75"/>
      <c r="U400" s="75"/>
      <c r="V400" s="76"/>
      <c r="W400" s="76"/>
      <c r="X400" s="77"/>
      <c r="Y400" s="78"/>
      <c r="Z400" s="79"/>
      <c r="AA400" s="69"/>
      <c r="AB400" s="68"/>
      <c r="AC400" s="68"/>
      <c r="AD400" s="68"/>
      <c r="AE400" s="80"/>
      <c r="AF400" s="80"/>
      <c r="AG400" s="80"/>
      <c r="AH400" s="80"/>
      <c r="AI400" s="81" t="s">
        <v>456</v>
      </c>
      <c r="AJ400" s="81" t="s">
        <v>411</v>
      </c>
      <c r="AK400" s="81">
        <v>1960</v>
      </c>
      <c r="AL400" s="81" t="s">
        <v>412</v>
      </c>
      <c r="AM400" s="81" t="s">
        <v>450</v>
      </c>
    </row>
    <row r="401" spans="1:39" x14ac:dyDescent="0.3">
      <c r="A401" s="67">
        <v>26</v>
      </c>
      <c r="D401" s="2">
        <v>0</v>
      </c>
      <c r="F401" s="2">
        <v>0</v>
      </c>
      <c r="H401" s="2">
        <v>0</v>
      </c>
      <c r="I401" s="3">
        <v>6.3</v>
      </c>
      <c r="J401" s="3">
        <v>0</v>
      </c>
      <c r="K401" s="4">
        <v>1</v>
      </c>
      <c r="L401" s="2">
        <v>150</v>
      </c>
      <c r="O401" s="84">
        <v>150</v>
      </c>
      <c r="P401" s="73"/>
      <c r="Q401" s="84">
        <v>0</v>
      </c>
      <c r="R401" s="74">
        <f>LOG(1)/LOG(2)</f>
        <v>0</v>
      </c>
      <c r="S401" s="74">
        <v>0.25</v>
      </c>
      <c r="T401" s="75"/>
      <c r="U401" s="75"/>
      <c r="V401" s="76"/>
      <c r="W401" s="76"/>
      <c r="X401" s="77"/>
      <c r="AI401" s="81" t="s">
        <v>456</v>
      </c>
      <c r="AJ401" s="15" t="s">
        <v>411</v>
      </c>
      <c r="AK401" s="15">
        <v>1960</v>
      </c>
      <c r="AL401" s="15" t="s">
        <v>412</v>
      </c>
      <c r="AM401" s="81" t="s">
        <v>450</v>
      </c>
    </row>
    <row r="402" spans="1:39" s="82" customFormat="1" x14ac:dyDescent="0.3">
      <c r="A402" s="67">
        <v>20</v>
      </c>
      <c r="B402" s="68"/>
      <c r="C402" s="68"/>
      <c r="D402" s="68">
        <v>0</v>
      </c>
      <c r="E402" s="68"/>
      <c r="F402" s="68">
        <v>0</v>
      </c>
      <c r="G402" s="69"/>
      <c r="H402" s="68">
        <v>0</v>
      </c>
      <c r="I402" s="69">
        <v>6.3</v>
      </c>
      <c r="J402" s="69">
        <v>0</v>
      </c>
      <c r="K402" s="70">
        <v>1</v>
      </c>
      <c r="L402" s="68">
        <v>180</v>
      </c>
      <c r="M402" s="71"/>
      <c r="N402" s="72"/>
      <c r="O402" s="84">
        <v>180</v>
      </c>
      <c r="P402" s="73"/>
      <c r="Q402" s="84">
        <v>0</v>
      </c>
      <c r="R402" s="74">
        <f>LOG(1)/LOG(2)</f>
        <v>0</v>
      </c>
      <c r="S402" s="74">
        <v>0.25</v>
      </c>
      <c r="T402" s="75"/>
      <c r="U402" s="75"/>
      <c r="V402" s="76"/>
      <c r="W402" s="76"/>
      <c r="X402" s="77"/>
      <c r="Y402" s="78"/>
      <c r="Z402" s="79"/>
      <c r="AA402" s="69"/>
      <c r="AB402" s="68"/>
      <c r="AC402" s="68"/>
      <c r="AD402" s="68"/>
      <c r="AE402" s="80"/>
      <c r="AF402" s="80"/>
      <c r="AG402" s="80"/>
      <c r="AH402" s="80"/>
      <c r="AI402" s="81" t="s">
        <v>456</v>
      </c>
      <c r="AJ402" s="81" t="s">
        <v>411</v>
      </c>
      <c r="AK402" s="81">
        <v>1960</v>
      </c>
      <c r="AL402" s="81" t="s">
        <v>412</v>
      </c>
      <c r="AM402" s="81" t="s">
        <v>450</v>
      </c>
    </row>
    <row r="403" spans="1:39" s="82" customFormat="1" x14ac:dyDescent="0.3">
      <c r="A403" s="67">
        <v>66</v>
      </c>
      <c r="B403" s="68"/>
      <c r="C403" s="68"/>
      <c r="D403" s="68">
        <v>0</v>
      </c>
      <c r="E403" s="68"/>
      <c r="F403" s="68">
        <v>0</v>
      </c>
      <c r="G403" s="69"/>
      <c r="H403" s="68">
        <v>0</v>
      </c>
      <c r="I403" s="69">
        <v>7.17</v>
      </c>
      <c r="J403" s="69">
        <v>4.2</v>
      </c>
      <c r="K403" s="70">
        <v>1</v>
      </c>
      <c r="L403" s="68">
        <v>0</v>
      </c>
      <c r="M403" s="71"/>
      <c r="N403" s="72"/>
      <c r="O403" s="84">
        <v>0</v>
      </c>
      <c r="P403" s="73"/>
      <c r="Q403" s="84">
        <v>0</v>
      </c>
      <c r="R403" s="74">
        <v>7.17</v>
      </c>
      <c r="S403" s="74">
        <v>4.2</v>
      </c>
      <c r="T403" s="75">
        <v>6.95</v>
      </c>
      <c r="U403" s="75">
        <v>4.2</v>
      </c>
      <c r="V403" s="76"/>
      <c r="W403" s="76"/>
      <c r="X403" s="77">
        <v>0.1</v>
      </c>
      <c r="Y403" s="78"/>
      <c r="Z403" s="79"/>
      <c r="AA403" s="69"/>
      <c r="AB403" s="68"/>
      <c r="AC403" s="68"/>
      <c r="AD403" s="68"/>
      <c r="AE403" s="80"/>
      <c r="AF403" s="80"/>
      <c r="AG403" s="80"/>
      <c r="AH403" s="80"/>
      <c r="AI403" s="81" t="s">
        <v>451</v>
      </c>
      <c r="AJ403" s="81" t="s">
        <v>411</v>
      </c>
      <c r="AK403" s="81">
        <v>1960</v>
      </c>
      <c r="AL403" s="81" t="s">
        <v>412</v>
      </c>
      <c r="AM403" s="81" t="s">
        <v>450</v>
      </c>
    </row>
    <row r="404" spans="1:39" s="82" customFormat="1" x14ac:dyDescent="0.3">
      <c r="A404" s="67">
        <v>60</v>
      </c>
      <c r="B404" s="68"/>
      <c r="C404" s="68"/>
      <c r="D404" s="68">
        <v>0</v>
      </c>
      <c r="E404" s="68"/>
      <c r="F404" s="68">
        <v>0</v>
      </c>
      <c r="G404" s="69"/>
      <c r="H404" s="68">
        <v>0</v>
      </c>
      <c r="I404" s="69">
        <v>6.6</v>
      </c>
      <c r="J404" s="69">
        <v>5.7</v>
      </c>
      <c r="K404" s="70">
        <v>2</v>
      </c>
      <c r="L404" s="68">
        <v>0</v>
      </c>
      <c r="M404" s="71"/>
      <c r="N404" s="72"/>
      <c r="O404" s="84">
        <v>0</v>
      </c>
      <c r="P404" s="73"/>
      <c r="Q404" s="84">
        <v>0</v>
      </c>
      <c r="R404" s="74">
        <v>6.6</v>
      </c>
      <c r="S404" s="74">
        <v>5.7</v>
      </c>
      <c r="T404" s="75">
        <v>6.6</v>
      </c>
      <c r="U404" s="75">
        <v>7.8</v>
      </c>
      <c r="V404" s="76"/>
      <c r="W404" s="76"/>
      <c r="X404" s="77">
        <v>0.1</v>
      </c>
      <c r="Y404" s="78"/>
      <c r="Z404" s="79"/>
      <c r="AA404" s="69"/>
      <c r="AB404" s="68"/>
      <c r="AC404" s="68"/>
      <c r="AD404" s="68"/>
      <c r="AE404" s="80"/>
      <c r="AF404" s="80"/>
      <c r="AG404" s="80"/>
      <c r="AH404" s="80"/>
      <c r="AI404" s="81" t="s">
        <v>451</v>
      </c>
      <c r="AJ404" s="81" t="s">
        <v>411</v>
      </c>
      <c r="AK404" s="81">
        <v>1960</v>
      </c>
      <c r="AL404" s="81" t="s">
        <v>412</v>
      </c>
      <c r="AM404" s="81" t="s">
        <v>450</v>
      </c>
    </row>
    <row r="405" spans="1:39" s="82" customFormat="1" x14ac:dyDescent="0.3">
      <c r="A405" s="67">
        <v>65</v>
      </c>
      <c r="B405" s="68"/>
      <c r="C405" s="68"/>
      <c r="D405" s="68">
        <v>0</v>
      </c>
      <c r="E405" s="68"/>
      <c r="F405" s="68">
        <v>0</v>
      </c>
      <c r="G405" s="69"/>
      <c r="H405" s="68">
        <v>0</v>
      </c>
      <c r="I405" s="69">
        <v>4.6500000000000004</v>
      </c>
      <c r="J405" s="69">
        <v>6.9</v>
      </c>
      <c r="K405" s="70">
        <v>3</v>
      </c>
      <c r="L405" s="68">
        <v>0</v>
      </c>
      <c r="M405" s="71"/>
      <c r="N405" s="72"/>
      <c r="O405" s="84">
        <v>0</v>
      </c>
      <c r="P405" s="73"/>
      <c r="Q405" s="84">
        <v>0</v>
      </c>
      <c r="R405" s="74">
        <v>4.6500000000000004</v>
      </c>
      <c r="S405" s="74">
        <v>6.9</v>
      </c>
      <c r="T405" s="75">
        <v>4.1500000000000004</v>
      </c>
      <c r="U405" s="75">
        <v>6.4</v>
      </c>
      <c r="V405" s="76"/>
      <c r="W405" s="76"/>
      <c r="X405" s="77">
        <v>0.1</v>
      </c>
      <c r="Y405" s="78"/>
      <c r="Z405" s="79"/>
      <c r="AA405" s="69"/>
      <c r="AB405" s="68"/>
      <c r="AC405" s="68"/>
      <c r="AD405" s="68"/>
      <c r="AE405" s="80"/>
      <c r="AF405" s="80"/>
      <c r="AG405" s="80"/>
      <c r="AH405" s="80"/>
      <c r="AI405" s="81" t="s">
        <v>451</v>
      </c>
      <c r="AJ405" s="81" t="s">
        <v>411</v>
      </c>
      <c r="AK405" s="81">
        <v>1960</v>
      </c>
      <c r="AL405" s="81" t="s">
        <v>412</v>
      </c>
      <c r="AM405" s="81" t="s">
        <v>450</v>
      </c>
    </row>
    <row r="406" spans="1:39" s="82" customFormat="1" x14ac:dyDescent="0.3">
      <c r="A406" s="67">
        <v>30</v>
      </c>
      <c r="B406" s="68">
        <v>30</v>
      </c>
      <c r="C406" s="68"/>
      <c r="D406" s="68">
        <v>0</v>
      </c>
      <c r="E406" s="68"/>
      <c r="F406" s="68">
        <v>0</v>
      </c>
      <c r="G406" s="69"/>
      <c r="H406" s="68"/>
      <c r="I406" s="69"/>
      <c r="J406" s="69"/>
      <c r="K406" s="70">
        <v>1</v>
      </c>
      <c r="L406" s="68">
        <v>720</v>
      </c>
      <c r="M406" s="71"/>
      <c r="N406" s="72">
        <v>6</v>
      </c>
      <c r="O406" s="84">
        <v>720</v>
      </c>
      <c r="P406" s="73">
        <v>0</v>
      </c>
      <c r="Q406" s="84"/>
      <c r="R406" s="74">
        <v>0</v>
      </c>
      <c r="S406" s="74">
        <v>0</v>
      </c>
      <c r="T406" s="75">
        <v>7.3</v>
      </c>
      <c r="U406" s="75">
        <v>1.6</v>
      </c>
      <c r="V406" s="76"/>
      <c r="W406" s="76"/>
      <c r="X406" s="77">
        <f>720+28</f>
        <v>748</v>
      </c>
      <c r="Y406" s="78">
        <v>0.8</v>
      </c>
      <c r="Z406" s="79">
        <v>5.15</v>
      </c>
      <c r="AA406" s="69">
        <v>0.9</v>
      </c>
      <c r="AB406" s="68">
        <v>20.399999999999999</v>
      </c>
      <c r="AC406" s="68">
        <v>29</v>
      </c>
      <c r="AD406" s="68"/>
      <c r="AE406" s="80"/>
      <c r="AF406" s="80"/>
      <c r="AG406" s="80"/>
      <c r="AH406" s="80"/>
      <c r="AI406" s="81" t="s">
        <v>129</v>
      </c>
      <c r="AJ406" s="81" t="s">
        <v>25</v>
      </c>
      <c r="AK406" s="81">
        <v>1961</v>
      </c>
      <c r="AL406" s="81" t="s">
        <v>45</v>
      </c>
      <c r="AM406" s="81" t="s">
        <v>130</v>
      </c>
    </row>
    <row r="407" spans="1:39" s="82" customFormat="1" x14ac:dyDescent="0.3">
      <c r="A407" s="67">
        <v>32</v>
      </c>
      <c r="B407" s="68">
        <v>32</v>
      </c>
      <c r="C407" s="68"/>
      <c r="D407" s="68">
        <v>0</v>
      </c>
      <c r="E407" s="68"/>
      <c r="F407" s="68">
        <v>1</v>
      </c>
      <c r="G407" s="69">
        <v>6</v>
      </c>
      <c r="H407" s="68"/>
      <c r="I407" s="69"/>
      <c r="J407" s="69"/>
      <c r="K407" s="70">
        <v>1</v>
      </c>
      <c r="L407" s="68">
        <v>720</v>
      </c>
      <c r="M407" s="71"/>
      <c r="N407" s="72">
        <v>6</v>
      </c>
      <c r="O407" s="84">
        <v>720</v>
      </c>
      <c r="P407" s="73">
        <v>1</v>
      </c>
      <c r="Q407" s="84"/>
      <c r="R407" s="74">
        <v>7.4</v>
      </c>
      <c r="S407" s="74"/>
      <c r="T407" s="75">
        <v>7.1</v>
      </c>
      <c r="U407" s="75"/>
      <c r="V407" s="76"/>
      <c r="W407" s="76">
        <v>1</v>
      </c>
      <c r="X407" s="77">
        <f>720+28</f>
        <v>748</v>
      </c>
      <c r="Y407" s="78">
        <v>0.34399999999999997</v>
      </c>
      <c r="Z407" s="79">
        <v>2.0299999999999998</v>
      </c>
      <c r="AA407" s="69"/>
      <c r="AB407" s="68">
        <v>5.4</v>
      </c>
      <c r="AC407" s="68"/>
      <c r="AD407" s="68"/>
      <c r="AE407" s="80"/>
      <c r="AF407" s="80"/>
      <c r="AG407" s="80"/>
      <c r="AH407" s="80"/>
      <c r="AI407" s="81" t="s">
        <v>131</v>
      </c>
      <c r="AJ407" s="81" t="s">
        <v>25</v>
      </c>
      <c r="AK407" s="81">
        <v>1961</v>
      </c>
      <c r="AL407" s="81" t="s">
        <v>45</v>
      </c>
      <c r="AM407" s="81" t="s">
        <v>132</v>
      </c>
    </row>
    <row r="408" spans="1:39" s="82" customFormat="1" x14ac:dyDescent="0.3">
      <c r="A408" s="67">
        <v>18</v>
      </c>
      <c r="B408" s="68">
        <v>18</v>
      </c>
      <c r="C408" s="68"/>
      <c r="D408" s="68">
        <v>0</v>
      </c>
      <c r="E408" s="68"/>
      <c r="F408" s="68">
        <v>1</v>
      </c>
      <c r="G408" s="69">
        <v>6</v>
      </c>
      <c r="H408" s="68"/>
      <c r="I408" s="69"/>
      <c r="J408" s="69"/>
      <c r="K408" s="70">
        <v>1</v>
      </c>
      <c r="L408" s="68">
        <v>720</v>
      </c>
      <c r="M408" s="71"/>
      <c r="N408" s="72">
        <v>6</v>
      </c>
      <c r="O408" s="84">
        <v>720</v>
      </c>
      <c r="P408" s="73">
        <v>1</v>
      </c>
      <c r="Q408" s="84"/>
      <c r="R408" s="74">
        <v>8.1</v>
      </c>
      <c r="S408" s="74"/>
      <c r="T408" s="75">
        <v>8.3000000000000007</v>
      </c>
      <c r="U408" s="75"/>
      <c r="V408" s="76"/>
      <c r="W408" s="76">
        <v>1</v>
      </c>
      <c r="X408" s="77">
        <f>720+28</f>
        <v>748</v>
      </c>
      <c r="Y408" s="78">
        <v>0</v>
      </c>
      <c r="Z408" s="79"/>
      <c r="AA408" s="69"/>
      <c r="AB408" s="68"/>
      <c r="AC408" s="68"/>
      <c r="AD408" s="68"/>
      <c r="AE408" s="80"/>
      <c r="AF408" s="80"/>
      <c r="AG408" s="80"/>
      <c r="AH408" s="80"/>
      <c r="AI408" s="81" t="s">
        <v>133</v>
      </c>
      <c r="AJ408" s="81" t="s">
        <v>25</v>
      </c>
      <c r="AK408" s="81">
        <v>1961</v>
      </c>
      <c r="AL408" s="81" t="s">
        <v>45</v>
      </c>
      <c r="AM408" s="81" t="s">
        <v>134</v>
      </c>
    </row>
    <row r="409" spans="1:39" s="82" customFormat="1" x14ac:dyDescent="0.3">
      <c r="A409" s="67">
        <v>19</v>
      </c>
      <c r="B409" s="68">
        <v>19</v>
      </c>
      <c r="C409" s="68"/>
      <c r="D409" s="68">
        <v>0</v>
      </c>
      <c r="E409" s="68"/>
      <c r="F409" s="68">
        <v>1</v>
      </c>
      <c r="G409" s="69">
        <v>6</v>
      </c>
      <c r="H409" s="68"/>
      <c r="I409" s="69"/>
      <c r="J409" s="69"/>
      <c r="K409" s="70">
        <v>1</v>
      </c>
      <c r="L409" s="68">
        <v>3600</v>
      </c>
      <c r="M409" s="71"/>
      <c r="N409" s="72">
        <v>6</v>
      </c>
      <c r="O409" s="84">
        <v>3600</v>
      </c>
      <c r="P409" s="73">
        <v>1</v>
      </c>
      <c r="Q409" s="84"/>
      <c r="R409" s="74">
        <v>8.1999999999999993</v>
      </c>
      <c r="S409" s="74">
        <v>0.3</v>
      </c>
      <c r="T409" s="75">
        <v>8.1</v>
      </c>
      <c r="U409" s="75"/>
      <c r="V409" s="76"/>
      <c r="W409" s="76">
        <v>1</v>
      </c>
      <c r="X409" s="77">
        <v>3628</v>
      </c>
      <c r="Y409" s="78">
        <v>0.36799999999999999</v>
      </c>
      <c r="Z409" s="79">
        <v>2.15</v>
      </c>
      <c r="AA409" s="69"/>
      <c r="AB409" s="68">
        <v>5</v>
      </c>
      <c r="AC409" s="68"/>
      <c r="AD409" s="68"/>
      <c r="AE409" s="80"/>
      <c r="AF409" s="80"/>
      <c r="AG409" s="80"/>
      <c r="AH409" s="80"/>
      <c r="AI409" s="81" t="s">
        <v>135</v>
      </c>
      <c r="AJ409" s="81" t="s">
        <v>25</v>
      </c>
      <c r="AK409" s="81">
        <v>1961</v>
      </c>
      <c r="AL409" s="81" t="s">
        <v>45</v>
      </c>
      <c r="AM409" s="81" t="s">
        <v>136</v>
      </c>
    </row>
    <row r="410" spans="1:39" s="82" customFormat="1" x14ac:dyDescent="0.3">
      <c r="A410" s="67">
        <v>33</v>
      </c>
      <c r="B410" s="68">
        <v>33</v>
      </c>
      <c r="C410" s="68"/>
      <c r="D410" s="68">
        <v>0</v>
      </c>
      <c r="E410" s="68"/>
      <c r="F410" s="68">
        <v>1</v>
      </c>
      <c r="G410" s="69">
        <v>6</v>
      </c>
      <c r="H410" s="68"/>
      <c r="I410" s="69"/>
      <c r="J410" s="69"/>
      <c r="K410" s="70">
        <v>1</v>
      </c>
      <c r="L410" s="68">
        <v>720</v>
      </c>
      <c r="M410" s="71"/>
      <c r="N410" s="72">
        <v>6</v>
      </c>
      <c r="O410" s="84">
        <v>720</v>
      </c>
      <c r="P410" s="73"/>
      <c r="Q410" s="84"/>
      <c r="R410" s="74">
        <v>7.1</v>
      </c>
      <c r="S410" s="74"/>
      <c r="T410" s="75">
        <v>7.4</v>
      </c>
      <c r="U410" s="75"/>
      <c r="V410" s="76"/>
      <c r="W410" s="76"/>
      <c r="X410" s="77">
        <f>720+28</f>
        <v>748</v>
      </c>
      <c r="Y410" s="78">
        <v>0.36399999999999999</v>
      </c>
      <c r="Z410" s="79">
        <v>2.1800000000000002</v>
      </c>
      <c r="AA410" s="69"/>
      <c r="AB410" s="68">
        <v>4.5999999999999996</v>
      </c>
      <c r="AC410" s="68"/>
      <c r="AD410" s="68"/>
      <c r="AE410" s="80"/>
      <c r="AF410" s="80"/>
      <c r="AG410" s="80"/>
      <c r="AH410" s="80"/>
      <c r="AI410" s="81" t="s">
        <v>137</v>
      </c>
      <c r="AJ410" s="81" t="s">
        <v>25</v>
      </c>
      <c r="AK410" s="81">
        <v>1961</v>
      </c>
      <c r="AL410" s="81" t="s">
        <v>45</v>
      </c>
      <c r="AM410" s="81"/>
    </row>
    <row r="411" spans="1:39" s="82" customFormat="1" x14ac:dyDescent="0.3">
      <c r="A411" s="67">
        <v>31</v>
      </c>
      <c r="B411" s="68">
        <v>31</v>
      </c>
      <c r="C411" s="68"/>
      <c r="D411" s="68">
        <v>2</v>
      </c>
      <c r="E411" s="68">
        <v>20</v>
      </c>
      <c r="F411" s="68">
        <v>0</v>
      </c>
      <c r="G411" s="69"/>
      <c r="H411" s="68"/>
      <c r="I411" s="69"/>
      <c r="J411" s="69">
        <v>0</v>
      </c>
      <c r="K411" s="70">
        <v>1</v>
      </c>
      <c r="L411" s="68">
        <v>720</v>
      </c>
      <c r="M411" s="71"/>
      <c r="N411" s="72">
        <v>6</v>
      </c>
      <c r="O411" s="84">
        <v>720</v>
      </c>
      <c r="P411" s="73"/>
      <c r="Q411" s="84"/>
      <c r="R411" s="74">
        <v>6.8</v>
      </c>
      <c r="S411" s="74"/>
      <c r="T411" s="75">
        <v>8.1</v>
      </c>
      <c r="U411" s="75"/>
      <c r="V411" s="76"/>
      <c r="W411" s="76">
        <f>16/31</f>
        <v>0.5161290322580645</v>
      </c>
      <c r="X411" s="77">
        <v>748</v>
      </c>
      <c r="Y411" s="78">
        <f>23/31</f>
        <v>0.74193548387096775</v>
      </c>
      <c r="Z411" s="79">
        <v>4.1100000000000003</v>
      </c>
      <c r="AA411" s="69"/>
      <c r="AB411" s="68">
        <v>12.3</v>
      </c>
      <c r="AC411" s="68"/>
      <c r="AD411" s="68"/>
      <c r="AE411" s="80"/>
      <c r="AF411" s="80"/>
      <c r="AG411" s="80"/>
      <c r="AH411" s="80"/>
      <c r="AI411" s="81" t="s">
        <v>46</v>
      </c>
      <c r="AJ411" s="81" t="s">
        <v>25</v>
      </c>
      <c r="AK411" s="81">
        <v>1961</v>
      </c>
      <c r="AL411" s="81" t="s">
        <v>45</v>
      </c>
      <c r="AM411" s="81"/>
    </row>
    <row r="412" spans="1:39" s="82" customFormat="1" x14ac:dyDescent="0.3">
      <c r="A412" s="67">
        <v>30</v>
      </c>
      <c r="B412" s="68">
        <v>30</v>
      </c>
      <c r="C412" s="68"/>
      <c r="D412" s="68">
        <v>0</v>
      </c>
      <c r="E412" s="68"/>
      <c r="F412" s="68">
        <v>0</v>
      </c>
      <c r="G412" s="69"/>
      <c r="H412" s="68"/>
      <c r="I412" s="69"/>
      <c r="J412" s="69">
        <v>0</v>
      </c>
      <c r="K412" s="70">
        <v>1</v>
      </c>
      <c r="L412" s="68">
        <v>720</v>
      </c>
      <c r="M412" s="71"/>
      <c r="N412" s="72">
        <v>6</v>
      </c>
      <c r="O412" s="84">
        <v>720</v>
      </c>
      <c r="P412" s="73">
        <v>0</v>
      </c>
      <c r="Q412" s="84"/>
      <c r="R412" s="74">
        <v>0</v>
      </c>
      <c r="S412" s="74">
        <v>0</v>
      </c>
      <c r="T412" s="75">
        <v>7.3</v>
      </c>
      <c r="U412" s="75"/>
      <c r="V412" s="76"/>
      <c r="W412" s="76"/>
      <c r="X412" s="77">
        <v>748</v>
      </c>
      <c r="Y412" s="78">
        <f>24/30</f>
        <v>0.8</v>
      </c>
      <c r="Z412" s="79">
        <v>5.15</v>
      </c>
      <c r="AA412" s="69"/>
      <c r="AB412" s="68">
        <v>20.399999999999999</v>
      </c>
      <c r="AC412" s="68"/>
      <c r="AD412" s="68"/>
      <c r="AE412" s="80"/>
      <c r="AF412" s="80"/>
      <c r="AG412" s="80"/>
      <c r="AH412" s="80"/>
      <c r="AI412" s="81" t="s">
        <v>49</v>
      </c>
      <c r="AJ412" s="81" t="s">
        <v>25</v>
      </c>
      <c r="AK412" s="81">
        <v>1961</v>
      </c>
      <c r="AL412" s="81" t="s">
        <v>45</v>
      </c>
      <c r="AM412" s="81"/>
    </row>
    <row r="413" spans="1:39" s="82" customFormat="1" x14ac:dyDescent="0.3">
      <c r="A413" s="67">
        <v>31</v>
      </c>
      <c r="B413" s="68">
        <v>31</v>
      </c>
      <c r="C413" s="68"/>
      <c r="D413" s="68">
        <v>4</v>
      </c>
      <c r="E413" s="68">
        <v>20</v>
      </c>
      <c r="F413" s="68">
        <v>0</v>
      </c>
      <c r="G413" s="69"/>
      <c r="H413" s="68"/>
      <c r="I413" s="69"/>
      <c r="J413" s="69"/>
      <c r="K413" s="70">
        <v>1</v>
      </c>
      <c r="L413" s="68">
        <v>2520</v>
      </c>
      <c r="M413" s="71"/>
      <c r="N413" s="72">
        <v>5.5</v>
      </c>
      <c r="O413" s="84">
        <v>2520</v>
      </c>
      <c r="P413" s="73">
        <v>1</v>
      </c>
      <c r="Q413" s="84">
        <v>0</v>
      </c>
      <c r="R413" s="74">
        <v>4.97</v>
      </c>
      <c r="S413" s="74">
        <v>0.68</v>
      </c>
      <c r="T413" s="75"/>
      <c r="U413" s="75"/>
      <c r="V413" s="76">
        <v>0.94</v>
      </c>
      <c r="W413" s="76"/>
      <c r="X413" s="77">
        <f>2520+28</f>
        <v>2548</v>
      </c>
      <c r="Y413" s="78">
        <f>33/44</f>
        <v>0.75</v>
      </c>
      <c r="Z413" s="79">
        <v>2.78</v>
      </c>
      <c r="AA413" s="69">
        <v>1.31</v>
      </c>
      <c r="AB413" s="68">
        <v>12.77</v>
      </c>
      <c r="AC413" s="68">
        <v>70</v>
      </c>
      <c r="AD413" s="68"/>
      <c r="AE413" s="80"/>
      <c r="AF413" s="80"/>
      <c r="AG413" s="80"/>
      <c r="AH413" s="80"/>
      <c r="AI413" s="81" t="s">
        <v>280</v>
      </c>
      <c r="AJ413" s="81" t="s">
        <v>63</v>
      </c>
      <c r="AK413" s="81">
        <v>1966</v>
      </c>
      <c r="AL413" s="81" t="s">
        <v>231</v>
      </c>
      <c r="AM413" s="81" t="s">
        <v>303</v>
      </c>
    </row>
    <row r="414" spans="1:39" s="82" customFormat="1" x14ac:dyDescent="0.3">
      <c r="A414" s="67">
        <v>29</v>
      </c>
      <c r="B414" s="68">
        <v>29</v>
      </c>
      <c r="C414" s="68"/>
      <c r="D414" s="68">
        <v>4</v>
      </c>
      <c r="E414" s="68">
        <v>20</v>
      </c>
      <c r="F414" s="68">
        <v>0</v>
      </c>
      <c r="G414" s="69"/>
      <c r="H414" s="68"/>
      <c r="I414" s="69"/>
      <c r="J414" s="69"/>
      <c r="K414" s="70">
        <v>1</v>
      </c>
      <c r="L414" s="68">
        <v>2520</v>
      </c>
      <c r="M414" s="71"/>
      <c r="N414" s="72">
        <v>5.5</v>
      </c>
      <c r="O414" s="84">
        <v>2520</v>
      </c>
      <c r="P414" s="73">
        <f>10/29</f>
        <v>0.34482758620689657</v>
      </c>
      <c r="Q414" s="84">
        <v>0</v>
      </c>
      <c r="R414" s="74">
        <v>2.34</v>
      </c>
      <c r="S414" s="74">
        <v>0.23</v>
      </c>
      <c r="T414" s="75"/>
      <c r="U414" s="75"/>
      <c r="V414" s="76">
        <v>0.97</v>
      </c>
      <c r="W414" s="76"/>
      <c r="X414" s="77">
        <f>2520+28</f>
        <v>2548</v>
      </c>
      <c r="Y414" s="78">
        <f>37/42</f>
        <v>0.88095238095238093</v>
      </c>
      <c r="Z414" s="79">
        <v>3.05</v>
      </c>
      <c r="AA414" s="69">
        <v>1.1100000000000001</v>
      </c>
      <c r="AB414" s="68">
        <v>14.04</v>
      </c>
      <c r="AC414" s="68">
        <v>94</v>
      </c>
      <c r="AD414" s="68"/>
      <c r="AE414" s="80"/>
      <c r="AF414" s="80"/>
      <c r="AG414" s="80"/>
      <c r="AH414" s="80"/>
      <c r="AI414" s="81" t="s">
        <v>281</v>
      </c>
      <c r="AJ414" s="81" t="s">
        <v>63</v>
      </c>
      <c r="AK414" s="81">
        <v>1966</v>
      </c>
      <c r="AL414" s="81" t="s">
        <v>231</v>
      </c>
      <c r="AM414" s="81" t="s">
        <v>303</v>
      </c>
    </row>
    <row r="415" spans="1:39" s="82" customFormat="1" x14ac:dyDescent="0.3">
      <c r="A415" s="67">
        <v>32</v>
      </c>
      <c r="B415" s="68">
        <v>32</v>
      </c>
      <c r="C415" s="68"/>
      <c r="D415" s="68">
        <v>4</v>
      </c>
      <c r="E415" s="68">
        <v>20</v>
      </c>
      <c r="F415" s="68">
        <v>0</v>
      </c>
      <c r="G415" s="69"/>
      <c r="H415" s="68"/>
      <c r="I415" s="69"/>
      <c r="J415" s="69"/>
      <c r="K415" s="70">
        <v>1</v>
      </c>
      <c r="L415" s="68">
        <v>2520</v>
      </c>
      <c r="M415" s="71"/>
      <c r="N415" s="72">
        <v>5.5</v>
      </c>
      <c r="O415" s="84">
        <v>2520</v>
      </c>
      <c r="P415" s="73">
        <v>1</v>
      </c>
      <c r="Q415" s="84">
        <v>0</v>
      </c>
      <c r="R415" s="74">
        <v>7.81</v>
      </c>
      <c r="S415" s="74">
        <v>1.19</v>
      </c>
      <c r="T415" s="75"/>
      <c r="U415" s="75"/>
      <c r="V415" s="76">
        <v>0.53</v>
      </c>
      <c r="W415" s="76"/>
      <c r="X415" s="77">
        <f>2520+28</f>
        <v>2548</v>
      </c>
      <c r="Y415" s="78">
        <f>23/45</f>
        <v>0.51111111111111107</v>
      </c>
      <c r="Z415" s="79">
        <v>2.78</v>
      </c>
      <c r="AA415" s="69">
        <v>1.42</v>
      </c>
      <c r="AB415" s="68">
        <v>13.73</v>
      </c>
      <c r="AC415" s="68">
        <v>105</v>
      </c>
      <c r="AD415" s="68"/>
      <c r="AE415" s="80"/>
      <c r="AF415" s="80"/>
      <c r="AG415" s="80"/>
      <c r="AH415" s="80"/>
      <c r="AI415" s="81" t="s">
        <v>282</v>
      </c>
      <c r="AJ415" s="81" t="s">
        <v>63</v>
      </c>
      <c r="AK415" s="81">
        <v>1966</v>
      </c>
      <c r="AL415" s="81" t="s">
        <v>231</v>
      </c>
      <c r="AM415" s="81" t="s">
        <v>303</v>
      </c>
    </row>
    <row r="416" spans="1:39" s="82" customFormat="1" x14ac:dyDescent="0.3">
      <c r="A416" s="67">
        <v>91</v>
      </c>
      <c r="B416" s="68">
        <v>0</v>
      </c>
      <c r="C416" s="68"/>
      <c r="D416" s="68">
        <v>4</v>
      </c>
      <c r="E416" s="68">
        <v>20</v>
      </c>
      <c r="F416" s="68">
        <v>0</v>
      </c>
      <c r="G416" s="69"/>
      <c r="H416" s="68"/>
      <c r="I416" s="69"/>
      <c r="J416" s="69"/>
      <c r="K416" s="70">
        <v>1</v>
      </c>
      <c r="L416" s="68">
        <v>2520</v>
      </c>
      <c r="M416" s="71"/>
      <c r="N416" s="72">
        <v>5.5</v>
      </c>
      <c r="O416" s="84">
        <v>2520</v>
      </c>
      <c r="P416" s="73">
        <f>72/91</f>
        <v>0.79120879120879117</v>
      </c>
      <c r="Q416" s="84">
        <v>0</v>
      </c>
      <c r="R416" s="74">
        <v>4.68</v>
      </c>
      <c r="S416" s="74">
        <v>8.8800000000000008</v>
      </c>
      <c r="T416" s="75">
        <v>8.59</v>
      </c>
      <c r="U416" s="75">
        <v>3.3</v>
      </c>
      <c r="V416" s="76">
        <f>(0.94*31+0.97*29+0.53*32)/91</f>
        <v>0.81571428571428561</v>
      </c>
      <c r="W416" s="76">
        <v>1</v>
      </c>
      <c r="X416" s="77">
        <f>2520+28</f>
        <v>2548</v>
      </c>
      <c r="Y416" s="78"/>
      <c r="Z416" s="79"/>
      <c r="AA416" s="69"/>
      <c r="AB416" s="68"/>
      <c r="AC416" s="68"/>
      <c r="AD416" s="68"/>
      <c r="AE416" s="80"/>
      <c r="AF416" s="80"/>
      <c r="AG416" s="80"/>
      <c r="AH416" s="80"/>
      <c r="AI416" s="81" t="s">
        <v>233</v>
      </c>
      <c r="AJ416" s="81" t="s">
        <v>63</v>
      </c>
      <c r="AK416" s="81">
        <v>1966</v>
      </c>
      <c r="AL416" s="81" t="s">
        <v>231</v>
      </c>
      <c r="AM416" s="81" t="s">
        <v>232</v>
      </c>
    </row>
    <row r="417" spans="1:39" s="82" customFormat="1" x14ac:dyDescent="0.3">
      <c r="A417" s="67">
        <v>193</v>
      </c>
      <c r="B417" s="68">
        <v>0</v>
      </c>
      <c r="C417" s="68"/>
      <c r="D417" s="68">
        <v>4</v>
      </c>
      <c r="E417" s="68">
        <v>20</v>
      </c>
      <c r="F417" s="68">
        <v>0</v>
      </c>
      <c r="G417" s="69"/>
      <c r="H417" s="68"/>
      <c r="I417" s="69"/>
      <c r="J417" s="69"/>
      <c r="K417" s="70">
        <v>1</v>
      </c>
      <c r="L417" s="68">
        <v>2520</v>
      </c>
      <c r="M417" s="71"/>
      <c r="N417" s="72">
        <v>6.5</v>
      </c>
      <c r="O417" s="84">
        <v>2520</v>
      </c>
      <c r="P417" s="73">
        <f>136/193</f>
        <v>0.70466321243523311</v>
      </c>
      <c r="Q417" s="84">
        <v>0</v>
      </c>
      <c r="R417" s="74">
        <v>4.03</v>
      </c>
      <c r="S417" s="74">
        <v>8.52</v>
      </c>
      <c r="T417" s="75">
        <v>6.89</v>
      </c>
      <c r="U417" s="75">
        <v>4.7699999999999996</v>
      </c>
      <c r="V417" s="76"/>
      <c r="W417" s="76">
        <f>175/180</f>
        <v>0.97222222222222221</v>
      </c>
      <c r="X417" s="77">
        <f>L417+56</f>
        <v>2576</v>
      </c>
      <c r="Y417" s="78"/>
      <c r="Z417" s="79"/>
      <c r="AA417" s="69"/>
      <c r="AB417" s="68"/>
      <c r="AC417" s="68"/>
      <c r="AD417" s="68"/>
      <c r="AE417" s="80"/>
      <c r="AF417" s="80"/>
      <c r="AG417" s="80"/>
      <c r="AH417" s="80"/>
      <c r="AI417" s="81" t="s">
        <v>225</v>
      </c>
      <c r="AJ417" s="81" t="s">
        <v>63</v>
      </c>
      <c r="AK417" s="81">
        <v>1969</v>
      </c>
      <c r="AL417" s="81" t="s">
        <v>64</v>
      </c>
      <c r="AM417" s="81" t="s">
        <v>234</v>
      </c>
    </row>
    <row r="418" spans="1:39" s="82" customFormat="1" x14ac:dyDescent="0.3">
      <c r="A418" s="67">
        <v>0</v>
      </c>
      <c r="B418" s="68">
        <v>57</v>
      </c>
      <c r="C418" s="68"/>
      <c r="D418" s="68">
        <v>4</v>
      </c>
      <c r="E418" s="68">
        <v>20</v>
      </c>
      <c r="F418" s="68">
        <v>0</v>
      </c>
      <c r="G418" s="69"/>
      <c r="H418" s="68"/>
      <c r="I418" s="69"/>
      <c r="J418" s="69"/>
      <c r="K418" s="70">
        <v>1</v>
      </c>
      <c r="L418" s="68">
        <v>2520</v>
      </c>
      <c r="M418" s="71"/>
      <c r="N418" s="72">
        <v>6.5</v>
      </c>
      <c r="O418" s="84">
        <v>2520</v>
      </c>
      <c r="P418" s="73">
        <v>0</v>
      </c>
      <c r="Q418" s="84">
        <v>0</v>
      </c>
      <c r="R418" s="74">
        <v>2</v>
      </c>
      <c r="S418" s="74">
        <v>1</v>
      </c>
      <c r="T418" s="75"/>
      <c r="U418" s="75"/>
      <c r="V418" s="76"/>
      <c r="W418" s="76"/>
      <c r="X418" s="77">
        <f>L418+56</f>
        <v>2576</v>
      </c>
      <c r="Y418" s="78">
        <f>50/57</f>
        <v>0.8771929824561403</v>
      </c>
      <c r="Z418" s="79"/>
      <c r="AA418" s="69"/>
      <c r="AB418" s="68">
        <v>19.899999999999999</v>
      </c>
      <c r="AC418" s="68">
        <v>93</v>
      </c>
      <c r="AD418" s="68"/>
      <c r="AE418" s="80"/>
      <c r="AF418" s="80"/>
      <c r="AG418" s="80"/>
      <c r="AH418" s="80"/>
      <c r="AI418" s="81" t="s">
        <v>206</v>
      </c>
      <c r="AJ418" s="81" t="s">
        <v>63</v>
      </c>
      <c r="AK418" s="81">
        <v>1969</v>
      </c>
      <c r="AL418" s="81" t="s">
        <v>64</v>
      </c>
      <c r="AM418" s="81"/>
    </row>
    <row r="419" spans="1:39" x14ac:dyDescent="0.3">
      <c r="A419" s="1">
        <v>5</v>
      </c>
      <c r="B419" s="2">
        <v>5</v>
      </c>
      <c r="D419" s="2">
        <v>4</v>
      </c>
      <c r="E419" s="2">
        <v>20</v>
      </c>
      <c r="F419" s="2">
        <v>1</v>
      </c>
      <c r="G419" s="3">
        <v>6.5</v>
      </c>
      <c r="K419" s="4">
        <v>1</v>
      </c>
      <c r="L419" s="2">
        <v>2576</v>
      </c>
      <c r="N419" s="6">
        <v>6.5</v>
      </c>
      <c r="O419" s="17">
        <v>2576</v>
      </c>
      <c r="P419" s="7">
        <v>0</v>
      </c>
      <c r="Q419" s="84">
        <v>0</v>
      </c>
      <c r="R419" s="8">
        <v>2</v>
      </c>
      <c r="S419" s="8">
        <v>0.7</v>
      </c>
      <c r="X419" s="11">
        <f>L419+30</f>
        <v>2606</v>
      </c>
      <c r="Y419" s="12">
        <f>4/5</f>
        <v>0.8</v>
      </c>
      <c r="AI419" s="15" t="s">
        <v>267</v>
      </c>
      <c r="AJ419" s="15" t="s">
        <v>63</v>
      </c>
      <c r="AK419" s="15">
        <v>1969</v>
      </c>
      <c r="AL419" s="15" t="s">
        <v>64</v>
      </c>
    </row>
    <row r="420" spans="1:39" x14ac:dyDescent="0.3">
      <c r="A420" s="1">
        <v>0</v>
      </c>
      <c r="B420" s="2">
        <v>33</v>
      </c>
      <c r="D420" s="2">
        <v>4</v>
      </c>
      <c r="E420" s="2">
        <v>20</v>
      </c>
      <c r="F420" s="2">
        <v>0</v>
      </c>
      <c r="K420" s="4">
        <v>1</v>
      </c>
      <c r="L420" s="2">
        <v>2520</v>
      </c>
      <c r="N420" s="6">
        <v>6.5</v>
      </c>
      <c r="O420" s="17">
        <v>2520</v>
      </c>
      <c r="P420" s="7">
        <v>1</v>
      </c>
      <c r="Q420" s="84">
        <v>0</v>
      </c>
      <c r="R420" s="8">
        <v>8</v>
      </c>
      <c r="S420" s="8">
        <v>1</v>
      </c>
      <c r="X420" s="11">
        <f>L420+56</f>
        <v>2576</v>
      </c>
      <c r="Y420" s="12">
        <f>11/33</f>
        <v>0.33333333333333331</v>
      </c>
      <c r="AB420" s="2">
        <v>14</v>
      </c>
      <c r="AC420" s="2">
        <v>54</v>
      </c>
      <c r="AI420" s="15" t="s">
        <v>67</v>
      </c>
      <c r="AJ420" s="15" t="s">
        <v>63</v>
      </c>
      <c r="AK420" s="15">
        <v>1969</v>
      </c>
      <c r="AL420" s="15" t="s">
        <v>64</v>
      </c>
    </row>
    <row r="421" spans="1:39" x14ac:dyDescent="0.3">
      <c r="A421" s="1">
        <v>29</v>
      </c>
      <c r="B421" s="2">
        <v>29</v>
      </c>
      <c r="D421" s="2">
        <v>4</v>
      </c>
      <c r="E421" s="2">
        <v>20</v>
      </c>
      <c r="F421" s="2">
        <v>1</v>
      </c>
      <c r="G421" s="3">
        <v>6.5</v>
      </c>
      <c r="K421" s="4">
        <v>1</v>
      </c>
      <c r="L421" s="2">
        <v>2576</v>
      </c>
      <c r="N421" s="6">
        <v>6.5</v>
      </c>
      <c r="O421" s="17">
        <v>2576</v>
      </c>
      <c r="P421" s="7">
        <v>1</v>
      </c>
      <c r="Q421" s="84">
        <v>0</v>
      </c>
      <c r="R421" s="8">
        <v>10</v>
      </c>
      <c r="S421" s="8">
        <v>0.7</v>
      </c>
      <c r="X421" s="11">
        <f>L421+30</f>
        <v>2606</v>
      </c>
      <c r="Y421" s="12">
        <f>0</f>
        <v>0</v>
      </c>
      <c r="AI421" s="15" t="s">
        <v>271</v>
      </c>
      <c r="AJ421" s="15" t="s">
        <v>63</v>
      </c>
      <c r="AK421" s="15">
        <v>1969</v>
      </c>
      <c r="AL421" s="15" t="s">
        <v>64</v>
      </c>
    </row>
    <row r="422" spans="1:39" x14ac:dyDescent="0.3">
      <c r="A422" s="1">
        <v>63</v>
      </c>
      <c r="B422" s="2">
        <v>63</v>
      </c>
      <c r="D422" s="2">
        <v>4</v>
      </c>
      <c r="E422" s="2">
        <v>20</v>
      </c>
      <c r="F422" s="2">
        <v>1</v>
      </c>
      <c r="G422" s="3">
        <v>6.5</v>
      </c>
      <c r="K422" s="4">
        <v>1</v>
      </c>
      <c r="L422" s="2">
        <v>2576</v>
      </c>
      <c r="N422" s="6">
        <v>6.5</v>
      </c>
      <c r="O422" s="17">
        <v>2576</v>
      </c>
      <c r="P422" s="7">
        <v>1</v>
      </c>
      <c r="Q422" s="84">
        <v>0</v>
      </c>
      <c r="R422" s="8">
        <v>7.5</v>
      </c>
      <c r="S422" s="8">
        <v>0.3</v>
      </c>
      <c r="X422" s="11">
        <f>L422+30</f>
        <v>2606</v>
      </c>
      <c r="Y422" s="12">
        <f>8/63</f>
        <v>0.12698412698412698</v>
      </c>
      <c r="AI422" s="15" t="s">
        <v>270</v>
      </c>
      <c r="AJ422" s="15" t="s">
        <v>63</v>
      </c>
      <c r="AK422" s="15">
        <v>1969</v>
      </c>
      <c r="AL422" s="15" t="s">
        <v>64</v>
      </c>
    </row>
    <row r="423" spans="1:39" x14ac:dyDescent="0.3">
      <c r="A423" s="1">
        <v>0</v>
      </c>
      <c r="B423" s="2">
        <v>51</v>
      </c>
      <c r="D423" s="2">
        <v>4</v>
      </c>
      <c r="E423" s="2">
        <v>20</v>
      </c>
      <c r="F423" s="2">
        <v>0</v>
      </c>
      <c r="K423" s="4">
        <v>1</v>
      </c>
      <c r="L423" s="2">
        <v>2520</v>
      </c>
      <c r="N423" s="6">
        <v>6.5</v>
      </c>
      <c r="O423" s="17">
        <v>2520</v>
      </c>
      <c r="P423" s="7">
        <v>1</v>
      </c>
      <c r="Q423" s="84">
        <v>0</v>
      </c>
      <c r="R423" s="8">
        <v>5.5</v>
      </c>
      <c r="S423" s="8">
        <v>0.25</v>
      </c>
      <c r="X423" s="11">
        <f>L423+56</f>
        <v>2576</v>
      </c>
      <c r="Y423" s="12">
        <f>25/51</f>
        <v>0.49019607843137253</v>
      </c>
      <c r="AB423" s="2">
        <v>17.5</v>
      </c>
      <c r="AC423" s="2">
        <v>94</v>
      </c>
      <c r="AI423" s="15" t="s">
        <v>66</v>
      </c>
      <c r="AJ423" s="15" t="s">
        <v>63</v>
      </c>
      <c r="AK423" s="15">
        <v>1969</v>
      </c>
      <c r="AL423" s="15" t="s">
        <v>64</v>
      </c>
    </row>
    <row r="424" spans="1:39" x14ac:dyDescent="0.3">
      <c r="A424" s="1">
        <v>57</v>
      </c>
      <c r="B424" s="2">
        <v>57</v>
      </c>
      <c r="D424" s="2">
        <v>4</v>
      </c>
      <c r="E424" s="2">
        <v>20</v>
      </c>
      <c r="F424" s="2">
        <v>1</v>
      </c>
      <c r="G424" s="3">
        <v>6.5</v>
      </c>
      <c r="K424" s="4">
        <v>1</v>
      </c>
      <c r="L424" s="2">
        <v>2576</v>
      </c>
      <c r="N424" s="6">
        <v>6.5</v>
      </c>
      <c r="O424" s="17">
        <v>2576</v>
      </c>
      <c r="P424" s="7">
        <v>1</v>
      </c>
      <c r="Q424" s="84">
        <v>0</v>
      </c>
      <c r="R424" s="8">
        <v>5.5</v>
      </c>
      <c r="S424" s="8">
        <v>0.25</v>
      </c>
      <c r="X424" s="11">
        <f>L424+30</f>
        <v>2606</v>
      </c>
      <c r="Y424" s="12">
        <f>15/57</f>
        <v>0.26315789473684209</v>
      </c>
      <c r="AI424" s="15" t="s">
        <v>269</v>
      </c>
      <c r="AJ424" s="15" t="s">
        <v>63</v>
      </c>
      <c r="AK424" s="15">
        <v>1969</v>
      </c>
      <c r="AL424" s="15" t="s">
        <v>64</v>
      </c>
    </row>
    <row r="425" spans="1:39" x14ac:dyDescent="0.3">
      <c r="A425" s="1">
        <v>0</v>
      </c>
      <c r="B425" s="2">
        <v>52</v>
      </c>
      <c r="D425" s="2">
        <v>4</v>
      </c>
      <c r="E425" s="2">
        <v>20</v>
      </c>
      <c r="F425" s="2">
        <v>0</v>
      </c>
      <c r="K425" s="4">
        <v>1</v>
      </c>
      <c r="L425" s="2">
        <v>2520</v>
      </c>
      <c r="N425" s="6">
        <v>6.5</v>
      </c>
      <c r="O425" s="17">
        <v>2520</v>
      </c>
      <c r="P425" s="7">
        <v>1</v>
      </c>
      <c r="Q425" s="84">
        <v>0</v>
      </c>
      <c r="R425" s="8">
        <v>3.5</v>
      </c>
      <c r="S425" s="8">
        <v>0.25</v>
      </c>
      <c r="X425" s="11">
        <f>L425+56</f>
        <v>2576</v>
      </c>
      <c r="Y425" s="12">
        <f>35/52</f>
        <v>0.67307692307692313</v>
      </c>
      <c r="AB425" s="2">
        <v>14.7</v>
      </c>
      <c r="AC425" s="2">
        <v>27</v>
      </c>
      <c r="AI425" s="15" t="s">
        <v>65</v>
      </c>
      <c r="AJ425" s="15" t="s">
        <v>63</v>
      </c>
      <c r="AK425" s="15">
        <v>1969</v>
      </c>
      <c r="AL425" s="15" t="s">
        <v>64</v>
      </c>
    </row>
    <row r="426" spans="1:39" x14ac:dyDescent="0.3">
      <c r="A426" s="1">
        <v>26</v>
      </c>
      <c r="B426" s="2">
        <v>26</v>
      </c>
      <c r="D426" s="2">
        <v>4</v>
      </c>
      <c r="E426" s="2">
        <v>20</v>
      </c>
      <c r="F426" s="2">
        <v>1</v>
      </c>
      <c r="G426" s="3">
        <v>6.5</v>
      </c>
      <c r="K426" s="4">
        <v>1</v>
      </c>
      <c r="L426" s="2">
        <v>2576</v>
      </c>
      <c r="N426" s="6">
        <v>6.5</v>
      </c>
      <c r="O426" s="17">
        <v>2576</v>
      </c>
      <c r="P426" s="7">
        <v>1</v>
      </c>
      <c r="Q426" s="84">
        <v>0</v>
      </c>
      <c r="R426" s="8">
        <v>3.5</v>
      </c>
      <c r="S426" s="8">
        <v>0.25</v>
      </c>
      <c r="X426" s="11">
        <f>L426+30</f>
        <v>2606</v>
      </c>
      <c r="Y426" s="12">
        <f>7/26</f>
        <v>0.26923076923076922</v>
      </c>
      <c r="AI426" s="15" t="s">
        <v>268</v>
      </c>
      <c r="AJ426" s="15" t="s">
        <v>63</v>
      </c>
      <c r="AK426" s="15">
        <v>1969</v>
      </c>
      <c r="AL426" s="15" t="s">
        <v>64</v>
      </c>
    </row>
    <row r="427" spans="1:39" x14ac:dyDescent="0.3">
      <c r="A427" s="1">
        <v>193</v>
      </c>
      <c r="B427" s="2">
        <v>0</v>
      </c>
      <c r="D427" s="2">
        <v>4</v>
      </c>
      <c r="E427" s="2">
        <v>2</v>
      </c>
      <c r="F427" s="2">
        <v>0</v>
      </c>
      <c r="K427" s="4">
        <v>2</v>
      </c>
      <c r="L427" s="2">
        <v>2520</v>
      </c>
      <c r="N427" s="6">
        <v>5</v>
      </c>
      <c r="O427" s="17">
        <v>2520</v>
      </c>
      <c r="P427" s="7">
        <f>186/193</f>
        <v>0.96373056994818651</v>
      </c>
      <c r="Q427" s="84">
        <v>0</v>
      </c>
      <c r="R427" s="8">
        <v>6.16</v>
      </c>
      <c r="S427" s="8">
        <v>3.48</v>
      </c>
      <c r="T427" s="9">
        <v>9.5299999999999994</v>
      </c>
      <c r="U427" s="9">
        <v>1.07</v>
      </c>
      <c r="W427" s="10">
        <v>1</v>
      </c>
      <c r="X427" s="11">
        <f>L427+56</f>
        <v>2576</v>
      </c>
      <c r="AI427" s="15" t="s">
        <v>225</v>
      </c>
      <c r="AJ427" s="15" t="s">
        <v>63</v>
      </c>
      <c r="AK427" s="15">
        <v>1969</v>
      </c>
      <c r="AL427" s="15" t="s">
        <v>64</v>
      </c>
      <c r="AM427" s="15" t="s">
        <v>224</v>
      </c>
    </row>
    <row r="428" spans="1:39" x14ac:dyDescent="0.3">
      <c r="A428" s="1">
        <v>0</v>
      </c>
      <c r="B428" s="2">
        <v>7</v>
      </c>
      <c r="D428" s="2">
        <v>4</v>
      </c>
      <c r="E428" s="2">
        <v>2</v>
      </c>
      <c r="F428" s="2">
        <v>0</v>
      </c>
      <c r="K428" s="4">
        <v>2</v>
      </c>
      <c r="L428" s="2">
        <v>2520</v>
      </c>
      <c r="N428" s="6">
        <v>5</v>
      </c>
      <c r="O428" s="17">
        <v>2520</v>
      </c>
      <c r="P428" s="7">
        <v>0</v>
      </c>
      <c r="Q428" s="84">
        <v>0</v>
      </c>
      <c r="R428" s="8">
        <v>2</v>
      </c>
      <c r="S428" s="8">
        <v>1</v>
      </c>
      <c r="X428" s="11">
        <f>L428+56</f>
        <v>2576</v>
      </c>
      <c r="Y428" s="12">
        <f>6/7</f>
        <v>0.8571428571428571</v>
      </c>
      <c r="AB428" s="2">
        <v>19.899999999999999</v>
      </c>
      <c r="AC428" s="2">
        <v>94</v>
      </c>
      <c r="AI428" s="15" t="s">
        <v>206</v>
      </c>
      <c r="AJ428" s="15" t="s">
        <v>63</v>
      </c>
      <c r="AK428" s="15">
        <v>1969</v>
      </c>
      <c r="AL428" s="15" t="s">
        <v>64</v>
      </c>
    </row>
    <row r="429" spans="1:39" x14ac:dyDescent="0.3">
      <c r="A429" s="1">
        <v>0</v>
      </c>
      <c r="B429" s="2">
        <v>0</v>
      </c>
      <c r="D429" s="2">
        <v>4</v>
      </c>
      <c r="E429" s="2">
        <v>2</v>
      </c>
      <c r="F429" s="2">
        <v>1</v>
      </c>
      <c r="G429" s="3">
        <v>5</v>
      </c>
      <c r="K429" s="4">
        <v>2</v>
      </c>
      <c r="L429" s="2">
        <v>2576</v>
      </c>
      <c r="N429" s="6">
        <v>5</v>
      </c>
      <c r="O429" s="17">
        <v>2576</v>
      </c>
      <c r="P429" s="7">
        <v>0</v>
      </c>
      <c r="Q429" s="84">
        <v>0</v>
      </c>
      <c r="R429" s="8">
        <v>2</v>
      </c>
      <c r="S429" s="8">
        <v>0.7</v>
      </c>
      <c r="X429" s="11">
        <f>L429+30</f>
        <v>2606</v>
      </c>
      <c r="Y429" s="12">
        <v>0</v>
      </c>
      <c r="AI429" s="15" t="s">
        <v>267</v>
      </c>
      <c r="AJ429" s="15" t="s">
        <v>63</v>
      </c>
      <c r="AK429" s="15">
        <v>1969</v>
      </c>
      <c r="AL429" s="15" t="s">
        <v>64</v>
      </c>
    </row>
    <row r="430" spans="1:39" x14ac:dyDescent="0.3">
      <c r="A430" s="1">
        <v>0</v>
      </c>
      <c r="B430" s="2">
        <v>71</v>
      </c>
      <c r="D430" s="2">
        <v>4</v>
      </c>
      <c r="E430" s="2">
        <v>2</v>
      </c>
      <c r="F430" s="2">
        <v>0</v>
      </c>
      <c r="K430" s="4">
        <v>2</v>
      </c>
      <c r="L430" s="2">
        <v>2520</v>
      </c>
      <c r="N430" s="6">
        <v>5</v>
      </c>
      <c r="O430" s="17">
        <v>2520</v>
      </c>
      <c r="P430" s="7">
        <v>1</v>
      </c>
      <c r="Q430" s="84">
        <v>0</v>
      </c>
      <c r="R430" s="8">
        <v>8</v>
      </c>
      <c r="S430" s="8">
        <v>1</v>
      </c>
      <c r="X430" s="11">
        <f>L430+56</f>
        <v>2576</v>
      </c>
      <c r="Y430" s="12">
        <f>57/71</f>
        <v>0.80281690140845074</v>
      </c>
      <c r="AB430" s="2">
        <v>16.8</v>
      </c>
      <c r="AC430" s="2">
        <v>18</v>
      </c>
      <c r="AI430" s="15" t="s">
        <v>67</v>
      </c>
      <c r="AJ430" s="15" t="s">
        <v>63</v>
      </c>
      <c r="AK430" s="15">
        <v>1969</v>
      </c>
      <c r="AL430" s="15" t="s">
        <v>64</v>
      </c>
    </row>
    <row r="431" spans="1:39" x14ac:dyDescent="0.3">
      <c r="A431" s="1">
        <v>145</v>
      </c>
      <c r="B431" s="2">
        <v>145</v>
      </c>
      <c r="D431" s="2">
        <v>4</v>
      </c>
      <c r="E431" s="2">
        <v>2</v>
      </c>
      <c r="F431" s="2">
        <v>1</v>
      </c>
      <c r="G431" s="3">
        <v>5</v>
      </c>
      <c r="K431" s="4">
        <v>2</v>
      </c>
      <c r="L431" s="2">
        <v>2576</v>
      </c>
      <c r="N431" s="6">
        <v>5</v>
      </c>
      <c r="O431" s="17">
        <v>2576</v>
      </c>
      <c r="P431" s="7">
        <v>1</v>
      </c>
      <c r="Q431" s="84">
        <v>0</v>
      </c>
      <c r="R431" s="8">
        <v>10</v>
      </c>
      <c r="S431" s="8">
        <v>0.7</v>
      </c>
      <c r="X431" s="11">
        <f>L431+30</f>
        <v>2606</v>
      </c>
      <c r="Y431" s="12">
        <f>7/145</f>
        <v>4.8275862068965517E-2</v>
      </c>
      <c r="AI431" s="15" t="s">
        <v>271</v>
      </c>
      <c r="AJ431" s="15" t="s">
        <v>63</v>
      </c>
      <c r="AK431" s="15">
        <v>1969</v>
      </c>
      <c r="AL431" s="15" t="s">
        <v>64</v>
      </c>
    </row>
    <row r="432" spans="1:39" x14ac:dyDescent="0.3">
      <c r="A432" s="1">
        <v>29</v>
      </c>
      <c r="B432" s="2">
        <v>29</v>
      </c>
      <c r="D432" s="2">
        <v>4</v>
      </c>
      <c r="E432" s="2">
        <v>2</v>
      </c>
      <c r="F432" s="2">
        <v>1</v>
      </c>
      <c r="G432" s="3">
        <v>5</v>
      </c>
      <c r="K432" s="4">
        <v>2</v>
      </c>
      <c r="L432" s="2">
        <v>2576</v>
      </c>
      <c r="N432" s="6">
        <v>5</v>
      </c>
      <c r="O432" s="17">
        <v>2576</v>
      </c>
      <c r="P432" s="7">
        <v>1</v>
      </c>
      <c r="Q432" s="84">
        <v>0</v>
      </c>
      <c r="R432" s="8">
        <v>7.5</v>
      </c>
      <c r="S432" s="8">
        <v>0.3</v>
      </c>
      <c r="X432" s="11">
        <f>L432+30</f>
        <v>2606</v>
      </c>
      <c r="Y432" s="12">
        <f>3/29</f>
        <v>0.10344827586206896</v>
      </c>
      <c r="AI432" s="15" t="s">
        <v>270</v>
      </c>
      <c r="AJ432" s="15" t="s">
        <v>63</v>
      </c>
      <c r="AK432" s="15">
        <v>1969</v>
      </c>
      <c r="AL432" s="15" t="s">
        <v>64</v>
      </c>
    </row>
    <row r="433" spans="1:39" x14ac:dyDescent="0.3">
      <c r="A433" s="1">
        <v>0</v>
      </c>
      <c r="B433" s="2">
        <v>80</v>
      </c>
      <c r="D433" s="2">
        <v>4</v>
      </c>
      <c r="E433" s="2">
        <v>2</v>
      </c>
      <c r="F433" s="2">
        <v>0</v>
      </c>
      <c r="K433" s="4">
        <v>2</v>
      </c>
      <c r="L433" s="2">
        <v>2520</v>
      </c>
      <c r="N433" s="6">
        <v>5</v>
      </c>
      <c r="O433" s="17">
        <v>2520</v>
      </c>
      <c r="P433" s="7">
        <v>1</v>
      </c>
      <c r="Q433" s="84">
        <v>0</v>
      </c>
      <c r="R433" s="8">
        <v>5.5849625007211561</v>
      </c>
      <c r="S433" s="8">
        <v>0.25</v>
      </c>
      <c r="X433" s="11">
        <f>L433+56</f>
        <v>2576</v>
      </c>
      <c r="Y433" s="12">
        <f>72/80</f>
        <v>0.9</v>
      </c>
      <c r="AB433" s="2">
        <v>20.5</v>
      </c>
      <c r="AC433" s="2">
        <v>35</v>
      </c>
      <c r="AI433" s="15" t="s">
        <v>66</v>
      </c>
      <c r="AJ433" s="15" t="s">
        <v>63</v>
      </c>
      <c r="AK433" s="15">
        <v>1969</v>
      </c>
      <c r="AL433" s="15" t="s">
        <v>64</v>
      </c>
    </row>
    <row r="434" spans="1:39" x14ac:dyDescent="0.3">
      <c r="A434" s="1">
        <v>5</v>
      </c>
      <c r="B434" s="2">
        <v>5</v>
      </c>
      <c r="D434" s="2">
        <v>4</v>
      </c>
      <c r="E434" s="2">
        <v>2</v>
      </c>
      <c r="F434" s="2">
        <v>1</v>
      </c>
      <c r="G434" s="3">
        <v>5</v>
      </c>
      <c r="K434" s="4">
        <v>2</v>
      </c>
      <c r="L434" s="2">
        <v>2576</v>
      </c>
      <c r="N434" s="6">
        <v>5</v>
      </c>
      <c r="O434" s="17">
        <v>2576</v>
      </c>
      <c r="P434" s="7">
        <v>1</v>
      </c>
      <c r="Q434" s="84">
        <v>0</v>
      </c>
      <c r="R434" s="8">
        <v>5.5</v>
      </c>
      <c r="S434" s="8">
        <v>0.25</v>
      </c>
      <c r="X434" s="11">
        <f>L434+30</f>
        <v>2606</v>
      </c>
      <c r="Y434" s="12">
        <f>1/5</f>
        <v>0.2</v>
      </c>
      <c r="AI434" s="15" t="s">
        <v>269</v>
      </c>
      <c r="AJ434" s="15" t="s">
        <v>63</v>
      </c>
      <c r="AK434" s="15">
        <v>1969</v>
      </c>
      <c r="AL434" s="15" t="s">
        <v>64</v>
      </c>
    </row>
    <row r="435" spans="1:39" x14ac:dyDescent="0.3">
      <c r="A435" s="1">
        <v>0</v>
      </c>
      <c r="B435" s="2">
        <v>35</v>
      </c>
      <c r="D435" s="2">
        <v>4</v>
      </c>
      <c r="E435" s="2">
        <v>2</v>
      </c>
      <c r="F435" s="2">
        <v>0</v>
      </c>
      <c r="K435" s="4">
        <v>2</v>
      </c>
      <c r="L435" s="2">
        <v>2520</v>
      </c>
      <c r="N435" s="6">
        <v>5</v>
      </c>
      <c r="O435" s="17">
        <v>2520</v>
      </c>
      <c r="P435" s="7">
        <v>1</v>
      </c>
      <c r="Q435" s="84">
        <v>0</v>
      </c>
      <c r="R435" s="8">
        <v>3.5849625007211565</v>
      </c>
      <c r="S435" s="8">
        <v>0.25</v>
      </c>
      <c r="X435" s="11">
        <f>L435+56</f>
        <v>2576</v>
      </c>
      <c r="Y435" s="12">
        <f>32/35</f>
        <v>0.91428571428571426</v>
      </c>
      <c r="AB435" s="2">
        <v>17</v>
      </c>
      <c r="AC435" s="2">
        <v>53</v>
      </c>
      <c r="AI435" s="15" t="s">
        <v>65</v>
      </c>
      <c r="AJ435" s="15" t="s">
        <v>63</v>
      </c>
      <c r="AK435" s="15">
        <v>1969</v>
      </c>
      <c r="AL435" s="15" t="s">
        <v>64</v>
      </c>
    </row>
    <row r="436" spans="1:39" x14ac:dyDescent="0.3">
      <c r="A436" s="1">
        <v>1</v>
      </c>
      <c r="B436" s="2">
        <v>1</v>
      </c>
      <c r="D436" s="2">
        <v>4</v>
      </c>
      <c r="E436" s="2">
        <v>2</v>
      </c>
      <c r="F436" s="2">
        <v>1</v>
      </c>
      <c r="G436" s="3">
        <v>5</v>
      </c>
      <c r="K436" s="4">
        <v>2</v>
      </c>
      <c r="L436" s="2">
        <v>2576</v>
      </c>
      <c r="N436" s="6">
        <v>5</v>
      </c>
      <c r="O436" s="17">
        <v>2576</v>
      </c>
      <c r="P436" s="7">
        <v>1</v>
      </c>
      <c r="Q436" s="84">
        <v>0</v>
      </c>
      <c r="R436" s="8">
        <v>3.5</v>
      </c>
      <c r="S436" s="8">
        <v>0.25</v>
      </c>
      <c r="X436" s="11">
        <f>L436+30</f>
        <v>2606</v>
      </c>
      <c r="Y436" s="12">
        <f>1/1</f>
        <v>1</v>
      </c>
      <c r="AI436" s="15" t="s">
        <v>268</v>
      </c>
      <c r="AJ436" s="15" t="s">
        <v>63</v>
      </c>
      <c r="AK436" s="15">
        <v>1969</v>
      </c>
      <c r="AL436" s="15" t="s">
        <v>64</v>
      </c>
    </row>
    <row r="437" spans="1:39" x14ac:dyDescent="0.3">
      <c r="A437" s="1">
        <v>193</v>
      </c>
      <c r="B437" s="2">
        <v>0</v>
      </c>
      <c r="D437" s="2">
        <v>4</v>
      </c>
      <c r="E437" s="2">
        <v>4</v>
      </c>
      <c r="F437" s="2">
        <v>0</v>
      </c>
      <c r="K437" s="4">
        <v>3</v>
      </c>
      <c r="L437" s="2">
        <v>2520</v>
      </c>
      <c r="N437" s="6">
        <v>5.3</v>
      </c>
      <c r="O437" s="17">
        <v>2520</v>
      </c>
      <c r="P437" s="7">
        <f>103/193</f>
        <v>0.53367875647668395</v>
      </c>
      <c r="Q437" s="84">
        <v>0</v>
      </c>
      <c r="R437" s="8">
        <v>2.89</v>
      </c>
      <c r="S437" s="8">
        <v>8.41</v>
      </c>
      <c r="T437" s="9">
        <v>6.74</v>
      </c>
      <c r="U437" s="9">
        <v>6.31</v>
      </c>
      <c r="W437" s="10">
        <f>167/180</f>
        <v>0.92777777777777781</v>
      </c>
      <c r="X437" s="11">
        <f>L437+56</f>
        <v>2576</v>
      </c>
      <c r="AI437" s="15" t="s">
        <v>225</v>
      </c>
      <c r="AJ437" s="15" t="s">
        <v>63</v>
      </c>
      <c r="AK437" s="15">
        <v>1969</v>
      </c>
      <c r="AL437" s="15" t="s">
        <v>64</v>
      </c>
      <c r="AM437" s="15" t="s">
        <v>224</v>
      </c>
    </row>
    <row r="438" spans="1:39" x14ac:dyDescent="0.3">
      <c r="A438" s="1">
        <v>0</v>
      </c>
      <c r="B438" s="2">
        <v>90</v>
      </c>
      <c r="D438" s="2">
        <v>4</v>
      </c>
      <c r="E438" s="2">
        <v>4</v>
      </c>
      <c r="F438" s="2">
        <v>0</v>
      </c>
      <c r="K438" s="4">
        <v>3</v>
      </c>
      <c r="L438" s="2">
        <v>2520</v>
      </c>
      <c r="N438" s="6">
        <v>5.3</v>
      </c>
      <c r="O438" s="17">
        <v>2520</v>
      </c>
      <c r="P438" s="7">
        <v>0</v>
      </c>
      <c r="Q438" s="84">
        <v>0</v>
      </c>
      <c r="R438" s="8">
        <v>2</v>
      </c>
      <c r="S438" s="8">
        <v>1</v>
      </c>
      <c r="X438" s="11">
        <f>L438+56</f>
        <v>2576</v>
      </c>
      <c r="Y438" s="12">
        <f>74/90</f>
        <v>0.82222222222222219</v>
      </c>
      <c r="AB438" s="2">
        <v>42.8</v>
      </c>
      <c r="AC438" s="2">
        <v>97</v>
      </c>
      <c r="AI438" s="15" t="s">
        <v>206</v>
      </c>
      <c r="AJ438" s="15" t="s">
        <v>63</v>
      </c>
      <c r="AK438" s="15">
        <v>1969</v>
      </c>
      <c r="AL438" s="15" t="s">
        <v>64</v>
      </c>
    </row>
    <row r="439" spans="1:39" x14ac:dyDescent="0.3">
      <c r="A439" s="1">
        <v>13</v>
      </c>
      <c r="B439" s="2">
        <v>13</v>
      </c>
      <c r="D439" s="2">
        <v>4</v>
      </c>
      <c r="E439" s="2">
        <v>4</v>
      </c>
      <c r="F439" s="2">
        <v>1</v>
      </c>
      <c r="G439" s="3">
        <v>5.3</v>
      </c>
      <c r="K439" s="4">
        <v>3</v>
      </c>
      <c r="L439" s="2">
        <v>2576</v>
      </c>
      <c r="N439" s="6">
        <v>5.3</v>
      </c>
      <c r="O439" s="17">
        <v>2576</v>
      </c>
      <c r="P439" s="7">
        <v>0</v>
      </c>
      <c r="Q439" s="84">
        <v>0</v>
      </c>
      <c r="R439" s="8">
        <v>2</v>
      </c>
      <c r="S439" s="8">
        <v>0.7</v>
      </c>
      <c r="X439" s="11">
        <f>L439+30</f>
        <v>2606</v>
      </c>
      <c r="Y439" s="12">
        <f>11/13</f>
        <v>0.84615384615384615</v>
      </c>
      <c r="AI439" s="15" t="s">
        <v>267</v>
      </c>
      <c r="AJ439" s="15" t="s">
        <v>63</v>
      </c>
      <c r="AK439" s="15">
        <v>1969</v>
      </c>
      <c r="AL439" s="15" t="s">
        <v>64</v>
      </c>
    </row>
    <row r="440" spans="1:39" x14ac:dyDescent="0.3">
      <c r="A440" s="1">
        <v>0</v>
      </c>
      <c r="B440" s="2">
        <v>16</v>
      </c>
      <c r="D440" s="2">
        <v>4</v>
      </c>
      <c r="E440" s="2">
        <v>4</v>
      </c>
      <c r="F440" s="2">
        <v>0</v>
      </c>
      <c r="K440" s="4">
        <v>3</v>
      </c>
      <c r="L440" s="2">
        <v>2520</v>
      </c>
      <c r="N440" s="6">
        <v>5.3</v>
      </c>
      <c r="O440" s="17">
        <v>2520</v>
      </c>
      <c r="P440" s="7">
        <v>1</v>
      </c>
      <c r="Q440" s="84">
        <v>0</v>
      </c>
      <c r="R440" s="8">
        <v>8</v>
      </c>
      <c r="S440" s="8">
        <v>1</v>
      </c>
      <c r="X440" s="11">
        <f>L440+56</f>
        <v>2576</v>
      </c>
      <c r="Y440" s="12">
        <f>10/16</f>
        <v>0.625</v>
      </c>
      <c r="AB440" s="2">
        <v>30.3</v>
      </c>
      <c r="AC440" s="2">
        <v>92</v>
      </c>
      <c r="AI440" s="15" t="s">
        <v>67</v>
      </c>
      <c r="AJ440" s="15" t="s">
        <v>63</v>
      </c>
      <c r="AK440" s="15">
        <v>1969</v>
      </c>
      <c r="AL440" s="15" t="s">
        <v>64</v>
      </c>
      <c r="AM440" s="81"/>
    </row>
    <row r="441" spans="1:39" x14ac:dyDescent="0.3">
      <c r="A441" s="1">
        <v>26</v>
      </c>
      <c r="B441" s="2">
        <v>26</v>
      </c>
      <c r="D441" s="2">
        <v>4</v>
      </c>
      <c r="E441" s="2">
        <v>4</v>
      </c>
      <c r="F441" s="2">
        <v>1</v>
      </c>
      <c r="G441" s="3">
        <v>5.3</v>
      </c>
      <c r="K441" s="4">
        <v>3</v>
      </c>
      <c r="L441" s="2">
        <v>2576</v>
      </c>
      <c r="N441" s="6">
        <v>5.3</v>
      </c>
      <c r="O441" s="17">
        <v>2576</v>
      </c>
      <c r="P441" s="7">
        <v>1</v>
      </c>
      <c r="Q441" s="84">
        <v>0</v>
      </c>
      <c r="R441" s="8">
        <v>10</v>
      </c>
      <c r="S441" s="8">
        <v>0.7</v>
      </c>
      <c r="X441" s="11">
        <f>L441+30</f>
        <v>2606</v>
      </c>
      <c r="Y441" s="12">
        <f>6/26</f>
        <v>0.23076923076923078</v>
      </c>
      <c r="AI441" s="15" t="s">
        <v>271</v>
      </c>
      <c r="AJ441" s="15" t="s">
        <v>63</v>
      </c>
      <c r="AK441" s="15">
        <v>1969</v>
      </c>
      <c r="AL441" s="15" t="s">
        <v>64</v>
      </c>
    </row>
    <row r="442" spans="1:39" x14ac:dyDescent="0.3">
      <c r="A442" s="1">
        <v>71</v>
      </c>
      <c r="B442" s="2">
        <v>71</v>
      </c>
      <c r="D442" s="2">
        <v>4</v>
      </c>
      <c r="E442" s="2">
        <v>4</v>
      </c>
      <c r="F442" s="2">
        <v>1</v>
      </c>
      <c r="G442" s="3">
        <v>5.3</v>
      </c>
      <c r="K442" s="4">
        <v>3</v>
      </c>
      <c r="L442" s="2">
        <v>2576</v>
      </c>
      <c r="N442" s="6">
        <v>5.3</v>
      </c>
      <c r="O442" s="17">
        <v>2576</v>
      </c>
      <c r="P442" s="7">
        <v>1</v>
      </c>
      <c r="Q442" s="84">
        <v>0</v>
      </c>
      <c r="R442" s="8">
        <v>7.5</v>
      </c>
      <c r="S442" s="8">
        <v>0.3</v>
      </c>
      <c r="X442" s="11">
        <f>L442+30</f>
        <v>2606</v>
      </c>
      <c r="Y442" s="12">
        <f>19/71</f>
        <v>0.26760563380281688</v>
      </c>
      <c r="AI442" s="15" t="s">
        <v>270</v>
      </c>
      <c r="AJ442" s="15" t="s">
        <v>63</v>
      </c>
      <c r="AK442" s="15">
        <v>1969</v>
      </c>
      <c r="AL442" s="15" t="s">
        <v>64</v>
      </c>
    </row>
    <row r="443" spans="1:39" x14ac:dyDescent="0.3">
      <c r="A443" s="1">
        <v>0</v>
      </c>
      <c r="B443" s="2">
        <v>41</v>
      </c>
      <c r="D443" s="2">
        <v>4</v>
      </c>
      <c r="E443" s="91">
        <v>4</v>
      </c>
      <c r="F443" s="2">
        <v>0</v>
      </c>
      <c r="K443" s="4">
        <v>3</v>
      </c>
      <c r="L443" s="2">
        <v>2520</v>
      </c>
      <c r="N443" s="6">
        <v>5.3</v>
      </c>
      <c r="O443" s="17">
        <v>2520</v>
      </c>
      <c r="P443" s="7">
        <v>1</v>
      </c>
      <c r="Q443" s="84">
        <v>0</v>
      </c>
      <c r="R443" s="8">
        <v>5.5849625007211561</v>
      </c>
      <c r="S443" s="8">
        <v>0.25</v>
      </c>
      <c r="X443" s="11">
        <f>L443+56</f>
        <v>2576</v>
      </c>
      <c r="Y443" s="12">
        <f>34/41</f>
        <v>0.82926829268292679</v>
      </c>
      <c r="AB443" s="2">
        <v>36.6</v>
      </c>
      <c r="AC443" s="2">
        <v>97</v>
      </c>
      <c r="AI443" s="81" t="s">
        <v>66</v>
      </c>
      <c r="AJ443" s="81" t="s">
        <v>63</v>
      </c>
      <c r="AK443" s="15">
        <v>1969</v>
      </c>
      <c r="AL443" s="81" t="s">
        <v>64</v>
      </c>
      <c r="AM443" s="81"/>
    </row>
    <row r="444" spans="1:39" s="82" customFormat="1" x14ac:dyDescent="0.3">
      <c r="A444" s="67">
        <v>53</v>
      </c>
      <c r="B444" s="68">
        <v>53</v>
      </c>
      <c r="C444" s="68"/>
      <c r="D444" s="68">
        <v>4</v>
      </c>
      <c r="E444" s="91">
        <v>4</v>
      </c>
      <c r="F444" s="68">
        <v>1</v>
      </c>
      <c r="G444" s="69">
        <v>5.3</v>
      </c>
      <c r="H444" s="68"/>
      <c r="I444" s="69"/>
      <c r="J444" s="69"/>
      <c r="K444" s="70">
        <v>3</v>
      </c>
      <c r="L444" s="68">
        <v>2576</v>
      </c>
      <c r="M444" s="71"/>
      <c r="N444" s="72">
        <v>5.3</v>
      </c>
      <c r="O444" s="84">
        <v>2576</v>
      </c>
      <c r="P444" s="73">
        <v>1</v>
      </c>
      <c r="Q444" s="84">
        <v>0</v>
      </c>
      <c r="R444" s="74">
        <v>5.5</v>
      </c>
      <c r="S444" s="74">
        <v>0.25</v>
      </c>
      <c r="T444" s="75"/>
      <c r="U444" s="75"/>
      <c r="V444" s="76"/>
      <c r="W444" s="76"/>
      <c r="X444" s="77">
        <f>L444+30</f>
        <v>2606</v>
      </c>
      <c r="Y444" s="78">
        <f>9/53</f>
        <v>0.16981132075471697</v>
      </c>
      <c r="Z444" s="79"/>
      <c r="AA444" s="69"/>
      <c r="AB444" s="68"/>
      <c r="AC444" s="68"/>
      <c r="AD444" s="68"/>
      <c r="AE444" s="80"/>
      <c r="AF444" s="80"/>
      <c r="AG444" s="80"/>
      <c r="AH444" s="80"/>
      <c r="AI444" s="81" t="s">
        <v>269</v>
      </c>
      <c r="AJ444" s="81" t="s">
        <v>63</v>
      </c>
      <c r="AK444" s="81">
        <v>1969</v>
      </c>
      <c r="AL444" s="81" t="s">
        <v>64</v>
      </c>
      <c r="AM444" s="81"/>
    </row>
    <row r="445" spans="1:39" s="82" customFormat="1" x14ac:dyDescent="0.3">
      <c r="A445" s="67">
        <v>0</v>
      </c>
      <c r="B445" s="68">
        <v>46</v>
      </c>
      <c r="C445" s="68"/>
      <c r="D445" s="68">
        <v>4</v>
      </c>
      <c r="E445" s="91">
        <v>4</v>
      </c>
      <c r="F445" s="68">
        <v>0</v>
      </c>
      <c r="G445" s="69"/>
      <c r="H445" s="68"/>
      <c r="I445" s="69"/>
      <c r="J445" s="69"/>
      <c r="K445" s="70">
        <v>3</v>
      </c>
      <c r="L445" s="68">
        <v>2520</v>
      </c>
      <c r="M445" s="71"/>
      <c r="N445" s="72">
        <v>5.3</v>
      </c>
      <c r="O445" s="84">
        <v>2520</v>
      </c>
      <c r="P445" s="73">
        <v>1</v>
      </c>
      <c r="Q445" s="84">
        <v>0</v>
      </c>
      <c r="R445" s="74">
        <v>3.5849625007211565</v>
      </c>
      <c r="S445" s="74">
        <v>0.25</v>
      </c>
      <c r="T445" s="75"/>
      <c r="U445" s="75"/>
      <c r="V445" s="76"/>
      <c r="W445" s="76"/>
      <c r="X445" s="77">
        <f>L445+56</f>
        <v>2576</v>
      </c>
      <c r="Y445" s="78">
        <f>40/46</f>
        <v>0.86956521739130432</v>
      </c>
      <c r="Z445" s="79"/>
      <c r="AA445" s="69"/>
      <c r="AB445" s="68">
        <v>38.9</v>
      </c>
      <c r="AC445" s="68">
        <v>62</v>
      </c>
      <c r="AD445" s="68"/>
      <c r="AE445" s="80"/>
      <c r="AF445" s="80"/>
      <c r="AG445" s="80"/>
      <c r="AH445" s="80"/>
      <c r="AI445" s="81" t="s">
        <v>65</v>
      </c>
      <c r="AJ445" s="81" t="s">
        <v>63</v>
      </c>
      <c r="AK445" s="81">
        <v>1969</v>
      </c>
      <c r="AL445" s="81" t="s">
        <v>64</v>
      </c>
      <c r="AM445" s="81"/>
    </row>
    <row r="446" spans="1:39" s="82" customFormat="1" x14ac:dyDescent="0.3">
      <c r="A446" s="67">
        <v>17</v>
      </c>
      <c r="B446" s="68">
        <v>17</v>
      </c>
      <c r="C446" s="68"/>
      <c r="D446" s="68">
        <v>4</v>
      </c>
      <c r="E446" s="91">
        <v>4</v>
      </c>
      <c r="F446" s="68">
        <v>1</v>
      </c>
      <c r="G446" s="69">
        <v>5.3</v>
      </c>
      <c r="H446" s="68"/>
      <c r="I446" s="69"/>
      <c r="J446" s="69"/>
      <c r="K446" s="70">
        <v>3</v>
      </c>
      <c r="L446" s="68">
        <v>2576</v>
      </c>
      <c r="M446" s="71"/>
      <c r="N446" s="72">
        <v>5.3</v>
      </c>
      <c r="O446" s="84">
        <v>2576</v>
      </c>
      <c r="P446" s="73">
        <v>1</v>
      </c>
      <c r="Q446" s="84">
        <v>0</v>
      </c>
      <c r="R446" s="74">
        <v>3.5</v>
      </c>
      <c r="S446" s="74">
        <v>0.25</v>
      </c>
      <c r="T446" s="75"/>
      <c r="U446" s="75"/>
      <c r="V446" s="76"/>
      <c r="W446" s="76"/>
      <c r="X446" s="77">
        <f>L446+30</f>
        <v>2606</v>
      </c>
      <c r="Y446" s="78">
        <f>7/17</f>
        <v>0.41176470588235292</v>
      </c>
      <c r="Z446" s="79"/>
      <c r="AA446" s="69"/>
      <c r="AB446" s="68"/>
      <c r="AC446" s="68"/>
      <c r="AD446" s="68"/>
      <c r="AE446" s="80"/>
      <c r="AF446" s="80"/>
      <c r="AG446" s="80"/>
      <c r="AH446" s="80"/>
      <c r="AI446" s="81" t="s">
        <v>268</v>
      </c>
      <c r="AJ446" s="81" t="s">
        <v>63</v>
      </c>
      <c r="AK446" s="81">
        <v>1969</v>
      </c>
      <c r="AL446" s="81" t="s">
        <v>64</v>
      </c>
      <c r="AM446" s="81"/>
    </row>
    <row r="447" spans="1:39" s="82" customFormat="1" x14ac:dyDescent="0.3">
      <c r="A447" s="67">
        <v>33</v>
      </c>
      <c r="B447" s="68">
        <v>33</v>
      </c>
      <c r="C447" s="68"/>
      <c r="D447" s="68">
        <v>1</v>
      </c>
      <c r="E447" s="91">
        <v>20</v>
      </c>
      <c r="F447" s="68">
        <v>1</v>
      </c>
      <c r="G447" s="69">
        <v>6</v>
      </c>
      <c r="H447" s="68"/>
      <c r="I447" s="69"/>
      <c r="J447" s="69"/>
      <c r="K447" s="70">
        <v>1</v>
      </c>
      <c r="L447" s="68">
        <v>14000</v>
      </c>
      <c r="M447" s="71"/>
      <c r="N447" s="72">
        <v>5</v>
      </c>
      <c r="O447" s="84">
        <v>14000</v>
      </c>
      <c r="P447" s="73">
        <f>30/35</f>
        <v>0.8571428571428571</v>
      </c>
      <c r="Q447" s="84">
        <v>0</v>
      </c>
      <c r="R447" s="74">
        <v>6.68</v>
      </c>
      <c r="S447" s="74">
        <v>11.34</v>
      </c>
      <c r="T447" s="75">
        <v>8.09</v>
      </c>
      <c r="U447" s="75">
        <v>5.61</v>
      </c>
      <c r="V447" s="76"/>
      <c r="W447" s="76">
        <f>34/35</f>
        <v>0.97142857142857142</v>
      </c>
      <c r="X447" s="77">
        <v>14028</v>
      </c>
      <c r="Y447" s="78">
        <f>7/33</f>
        <v>0.21212121212121213</v>
      </c>
      <c r="Z447" s="79"/>
      <c r="AA447" s="69"/>
      <c r="AB447" s="68">
        <v>16.399999999999999</v>
      </c>
      <c r="AC447" s="68">
        <v>53</v>
      </c>
      <c r="AD447" s="68"/>
      <c r="AE447" s="80"/>
      <c r="AF447" s="80"/>
      <c r="AG447" s="80"/>
      <c r="AH447" s="80"/>
      <c r="AI447" s="81" t="s">
        <v>97</v>
      </c>
      <c r="AJ447" s="81" t="s">
        <v>98</v>
      </c>
      <c r="AK447" s="81">
        <v>1961</v>
      </c>
      <c r="AL447" s="81" t="s">
        <v>99</v>
      </c>
      <c r="AM447" s="81" t="s">
        <v>125</v>
      </c>
    </row>
    <row r="448" spans="1:39" s="82" customFormat="1" x14ac:dyDescent="0.3">
      <c r="A448" s="67">
        <v>33</v>
      </c>
      <c r="B448" s="68">
        <v>33</v>
      </c>
      <c r="C448" s="68"/>
      <c r="D448" s="68">
        <v>1</v>
      </c>
      <c r="E448" s="91">
        <v>2</v>
      </c>
      <c r="F448" s="68">
        <v>1</v>
      </c>
      <c r="G448" s="69">
        <v>6</v>
      </c>
      <c r="H448" s="68"/>
      <c r="I448" s="69"/>
      <c r="J448" s="69"/>
      <c r="K448" s="70">
        <v>2</v>
      </c>
      <c r="L448" s="68">
        <v>14147</v>
      </c>
      <c r="M448" s="71"/>
      <c r="N448" s="72">
        <v>5</v>
      </c>
      <c r="O448" s="84">
        <v>14147</v>
      </c>
      <c r="P448" s="73">
        <f>28/35</f>
        <v>0.8</v>
      </c>
      <c r="Q448" s="84">
        <v>0</v>
      </c>
      <c r="R448" s="74">
        <v>6.61</v>
      </c>
      <c r="S448" s="74">
        <v>15.45</v>
      </c>
      <c r="T448" s="75">
        <v>8.36</v>
      </c>
      <c r="U448" s="75">
        <v>7.38</v>
      </c>
      <c r="V448" s="76"/>
      <c r="W448" s="76">
        <f>33/35</f>
        <v>0.94285714285714284</v>
      </c>
      <c r="X448" s="77">
        <v>14175</v>
      </c>
      <c r="Y448" s="78">
        <f>9/33</f>
        <v>0.27272727272727271</v>
      </c>
      <c r="Z448" s="79"/>
      <c r="AA448" s="69"/>
      <c r="AB448" s="68">
        <v>12.5</v>
      </c>
      <c r="AC448" s="68">
        <v>37</v>
      </c>
      <c r="AD448" s="68"/>
      <c r="AE448" s="80"/>
      <c r="AF448" s="80"/>
      <c r="AG448" s="80"/>
      <c r="AH448" s="80"/>
      <c r="AI448" s="81" t="s">
        <v>97</v>
      </c>
      <c r="AJ448" s="81" t="s">
        <v>98</v>
      </c>
      <c r="AK448" s="81">
        <v>1961</v>
      </c>
      <c r="AL448" s="81" t="s">
        <v>99</v>
      </c>
      <c r="AM448" s="81" t="s">
        <v>125</v>
      </c>
    </row>
    <row r="449" spans="1:39" s="82" customFormat="1" x14ac:dyDescent="0.3">
      <c r="A449" s="67">
        <v>35</v>
      </c>
      <c r="B449" s="68">
        <v>35</v>
      </c>
      <c r="C449" s="68"/>
      <c r="D449" s="68">
        <v>1</v>
      </c>
      <c r="E449" s="91">
        <v>4</v>
      </c>
      <c r="F449" s="68">
        <v>1</v>
      </c>
      <c r="G449" s="69">
        <v>6</v>
      </c>
      <c r="H449" s="68"/>
      <c r="I449" s="69"/>
      <c r="J449" s="69"/>
      <c r="K449" s="70">
        <v>3</v>
      </c>
      <c r="L449" s="68">
        <v>14119</v>
      </c>
      <c r="M449" s="71"/>
      <c r="N449" s="72">
        <v>5</v>
      </c>
      <c r="O449" s="84">
        <v>14119</v>
      </c>
      <c r="P449" s="73">
        <f>31/35</f>
        <v>0.88571428571428568</v>
      </c>
      <c r="Q449" s="84">
        <v>0</v>
      </c>
      <c r="R449" s="74">
        <v>7.54</v>
      </c>
      <c r="S449" s="74">
        <v>10.82</v>
      </c>
      <c r="T449" s="75">
        <v>8.6300000000000008</v>
      </c>
      <c r="U449" s="75">
        <v>3.89</v>
      </c>
      <c r="V449" s="76"/>
      <c r="W449" s="76">
        <v>1</v>
      </c>
      <c r="X449" s="77">
        <v>14147</v>
      </c>
      <c r="Y449" s="78">
        <f>10/35</f>
        <v>0.2857142857142857</v>
      </c>
      <c r="Z449" s="79"/>
      <c r="AA449" s="69"/>
      <c r="AB449" s="68">
        <v>31.4</v>
      </c>
      <c r="AC449" s="68">
        <v>236</v>
      </c>
      <c r="AD449" s="68"/>
      <c r="AE449" s="80"/>
      <c r="AF449" s="80"/>
      <c r="AG449" s="80"/>
      <c r="AH449" s="80"/>
      <c r="AI449" s="81" t="s">
        <v>97</v>
      </c>
      <c r="AJ449" s="81" t="s">
        <v>98</v>
      </c>
      <c r="AK449" s="81">
        <v>1961</v>
      </c>
      <c r="AL449" s="81" t="s">
        <v>99</v>
      </c>
      <c r="AM449" s="81" t="s">
        <v>125</v>
      </c>
    </row>
    <row r="450" spans="1:39" s="82" customFormat="1" x14ac:dyDescent="0.3">
      <c r="A450" s="67">
        <v>0</v>
      </c>
      <c r="B450" s="68">
        <v>80</v>
      </c>
      <c r="C450" s="68"/>
      <c r="D450" s="68">
        <v>0</v>
      </c>
      <c r="E450" s="91"/>
      <c r="F450" s="68">
        <v>0</v>
      </c>
      <c r="G450" s="69"/>
      <c r="H450" s="68"/>
      <c r="I450" s="69"/>
      <c r="J450" s="69"/>
      <c r="K450" s="70">
        <v>1</v>
      </c>
      <c r="L450" s="68">
        <v>365</v>
      </c>
      <c r="M450" s="71"/>
      <c r="N450" s="72"/>
      <c r="O450" s="84"/>
      <c r="P450" s="73"/>
      <c r="Q450" s="84"/>
      <c r="R450" s="74"/>
      <c r="S450" s="74"/>
      <c r="T450" s="75"/>
      <c r="U450" s="75"/>
      <c r="V450" s="76"/>
      <c r="W450" s="76"/>
      <c r="X450" s="77"/>
      <c r="Y450" s="78">
        <v>1</v>
      </c>
      <c r="Z450" s="79"/>
      <c r="AA450" s="69"/>
      <c r="AB450" s="68">
        <v>65</v>
      </c>
      <c r="AC450" s="68">
        <v>362</v>
      </c>
      <c r="AD450" s="68"/>
      <c r="AE450" s="80"/>
      <c r="AF450" s="80"/>
      <c r="AG450" s="80"/>
      <c r="AH450" s="80" t="s">
        <v>402</v>
      </c>
      <c r="AI450" s="81" t="s">
        <v>418</v>
      </c>
      <c r="AJ450" s="81" t="s">
        <v>414</v>
      </c>
      <c r="AK450" s="81">
        <v>1958</v>
      </c>
      <c r="AL450" s="81" t="s">
        <v>416</v>
      </c>
      <c r="AM450" s="81"/>
    </row>
    <row r="451" spans="1:39" s="82" customFormat="1" x14ac:dyDescent="0.3">
      <c r="A451" s="67">
        <v>0</v>
      </c>
      <c r="B451" s="68">
        <v>69</v>
      </c>
      <c r="C451" s="68"/>
      <c r="D451" s="68">
        <v>0</v>
      </c>
      <c r="E451" s="91"/>
      <c r="F451" s="68">
        <v>0</v>
      </c>
      <c r="G451" s="69"/>
      <c r="H451" s="68"/>
      <c r="I451" s="69"/>
      <c r="J451" s="69"/>
      <c r="K451" s="70">
        <v>1</v>
      </c>
      <c r="L451" s="68">
        <v>365</v>
      </c>
      <c r="M451" s="71"/>
      <c r="N451" s="72"/>
      <c r="O451" s="84"/>
      <c r="P451" s="73"/>
      <c r="Q451" s="84"/>
      <c r="R451" s="74"/>
      <c r="S451" s="74"/>
      <c r="T451" s="75"/>
      <c r="U451" s="75"/>
      <c r="V451" s="76"/>
      <c r="W451" s="76"/>
      <c r="X451" s="77"/>
      <c r="Y451" s="78">
        <v>1</v>
      </c>
      <c r="Z451" s="79"/>
      <c r="AA451" s="69"/>
      <c r="AB451" s="68">
        <v>42</v>
      </c>
      <c r="AC451" s="68">
        <v>400</v>
      </c>
      <c r="AD451" s="68"/>
      <c r="AE451" s="80"/>
      <c r="AF451" s="80"/>
      <c r="AG451" s="80"/>
      <c r="AH451" s="80" t="s">
        <v>402</v>
      </c>
      <c r="AI451" s="81" t="s">
        <v>415</v>
      </c>
      <c r="AJ451" s="81" t="s">
        <v>414</v>
      </c>
      <c r="AK451" s="81">
        <v>1958</v>
      </c>
      <c r="AL451" s="81" t="s">
        <v>416</v>
      </c>
      <c r="AM451" s="81" t="s">
        <v>417</v>
      </c>
    </row>
    <row r="452" spans="1:39" s="82" customFormat="1" x14ac:dyDescent="0.3">
      <c r="A452" s="67">
        <v>10</v>
      </c>
      <c r="B452" s="68">
        <v>10</v>
      </c>
      <c r="C452" s="68"/>
      <c r="D452" s="68">
        <v>3</v>
      </c>
      <c r="E452" s="91">
        <v>75</v>
      </c>
      <c r="F452" s="68">
        <v>0</v>
      </c>
      <c r="G452" s="69"/>
      <c r="H452" s="68">
        <v>60</v>
      </c>
      <c r="I452" s="69"/>
      <c r="J452" s="69"/>
      <c r="K452" s="70">
        <v>1</v>
      </c>
      <c r="L452" s="68">
        <v>180</v>
      </c>
      <c r="M452" s="71"/>
      <c r="N452" s="72">
        <v>1.7</v>
      </c>
      <c r="O452" s="84">
        <v>180</v>
      </c>
      <c r="P452" s="73"/>
      <c r="Q452" s="84">
        <v>0</v>
      </c>
      <c r="R452" s="74"/>
      <c r="S452" s="74"/>
      <c r="T452" s="75"/>
      <c r="U452" s="75"/>
      <c r="V452" s="76"/>
      <c r="W452" s="76"/>
      <c r="X452" s="77"/>
      <c r="Y452" s="78">
        <f>7/10</f>
        <v>0.7</v>
      </c>
      <c r="Z452" s="79">
        <v>4.09</v>
      </c>
      <c r="AA452" s="69">
        <v>1.34</v>
      </c>
      <c r="AB452" s="68">
        <v>22.5</v>
      </c>
      <c r="AC452" s="68">
        <v>52</v>
      </c>
      <c r="AD452" s="68"/>
      <c r="AE452" s="80"/>
      <c r="AF452" s="80"/>
      <c r="AG452" s="80"/>
      <c r="AH452" s="80"/>
      <c r="AI452" s="81" t="s">
        <v>290</v>
      </c>
      <c r="AJ452" s="81" t="s">
        <v>166</v>
      </c>
      <c r="AK452" s="81">
        <v>1966</v>
      </c>
      <c r="AL452" s="81" t="s">
        <v>208</v>
      </c>
      <c r="AM452" s="81"/>
    </row>
    <row r="453" spans="1:39" s="82" customFormat="1" x14ac:dyDescent="0.3">
      <c r="A453" s="67">
        <v>9</v>
      </c>
      <c r="B453" s="68">
        <v>9</v>
      </c>
      <c r="C453" s="68"/>
      <c r="D453" s="68">
        <v>3</v>
      </c>
      <c r="E453" s="91">
        <v>75</v>
      </c>
      <c r="F453" s="68">
        <v>0</v>
      </c>
      <c r="G453" s="69"/>
      <c r="H453" s="68">
        <v>60</v>
      </c>
      <c r="I453" s="69"/>
      <c r="J453" s="69"/>
      <c r="K453" s="70">
        <v>1</v>
      </c>
      <c r="L453" s="68">
        <v>180</v>
      </c>
      <c r="M453" s="71"/>
      <c r="N453" s="72">
        <v>2.7</v>
      </c>
      <c r="O453" s="84">
        <v>180</v>
      </c>
      <c r="P453" s="73"/>
      <c r="Q453" s="84">
        <v>0</v>
      </c>
      <c r="R453" s="74"/>
      <c r="S453" s="74"/>
      <c r="T453" s="75"/>
      <c r="U453" s="75"/>
      <c r="V453" s="76"/>
      <c r="W453" s="76"/>
      <c r="X453" s="77"/>
      <c r="Y453" s="78">
        <f>7/9</f>
        <v>0.77777777777777779</v>
      </c>
      <c r="Z453" s="79">
        <v>4.09</v>
      </c>
      <c r="AA453" s="69">
        <v>1.34</v>
      </c>
      <c r="AB453" s="68">
        <v>22.5</v>
      </c>
      <c r="AC453" s="68">
        <v>52</v>
      </c>
      <c r="AD453" s="68"/>
      <c r="AE453" s="80"/>
      <c r="AF453" s="80"/>
      <c r="AG453" s="80"/>
      <c r="AH453" s="80"/>
      <c r="AI453" s="81" t="s">
        <v>291</v>
      </c>
      <c r="AJ453" s="81" t="s">
        <v>166</v>
      </c>
      <c r="AK453" s="81">
        <v>1966</v>
      </c>
      <c r="AL453" s="81" t="s">
        <v>208</v>
      </c>
      <c r="AM453" s="81"/>
    </row>
    <row r="454" spans="1:39" s="82" customFormat="1" x14ac:dyDescent="0.3">
      <c r="A454" s="67">
        <v>11</v>
      </c>
      <c r="B454" s="68">
        <v>11</v>
      </c>
      <c r="C454" s="68"/>
      <c r="D454" s="68">
        <v>3</v>
      </c>
      <c r="E454" s="91">
        <v>75</v>
      </c>
      <c r="F454" s="68">
        <v>0</v>
      </c>
      <c r="G454" s="69"/>
      <c r="H454" s="68">
        <v>60</v>
      </c>
      <c r="I454" s="69"/>
      <c r="J454" s="69"/>
      <c r="K454" s="70">
        <v>1</v>
      </c>
      <c r="L454" s="68">
        <v>180</v>
      </c>
      <c r="M454" s="71"/>
      <c r="N454" s="72">
        <v>3.7</v>
      </c>
      <c r="O454" s="84">
        <v>180</v>
      </c>
      <c r="P454" s="73"/>
      <c r="Q454" s="84">
        <v>0</v>
      </c>
      <c r="R454" s="74"/>
      <c r="S454" s="74"/>
      <c r="T454" s="75"/>
      <c r="U454" s="75"/>
      <c r="V454" s="76"/>
      <c r="W454" s="76"/>
      <c r="X454" s="77"/>
      <c r="Y454" s="78">
        <f>10/11</f>
        <v>0.90909090909090906</v>
      </c>
      <c r="Z454" s="79">
        <v>4.09</v>
      </c>
      <c r="AA454" s="69">
        <v>1.34</v>
      </c>
      <c r="AB454" s="68">
        <v>22.5</v>
      </c>
      <c r="AC454" s="68">
        <v>52</v>
      </c>
      <c r="AD454" s="68"/>
      <c r="AE454" s="80"/>
      <c r="AF454" s="80"/>
      <c r="AG454" s="80"/>
      <c r="AH454" s="80"/>
      <c r="AI454" s="81" t="s">
        <v>292</v>
      </c>
      <c r="AJ454" s="81" t="s">
        <v>166</v>
      </c>
      <c r="AK454" s="81">
        <v>1966</v>
      </c>
      <c r="AL454" s="81" t="s">
        <v>208</v>
      </c>
      <c r="AM454" s="81"/>
    </row>
    <row r="455" spans="1:39" s="82" customFormat="1" x14ac:dyDescent="0.3">
      <c r="A455" s="67">
        <v>9</v>
      </c>
      <c r="B455" s="68">
        <v>9</v>
      </c>
      <c r="C455" s="68"/>
      <c r="D455" s="68">
        <v>3</v>
      </c>
      <c r="E455" s="91">
        <v>75</v>
      </c>
      <c r="F455" s="68">
        <v>0</v>
      </c>
      <c r="G455" s="69"/>
      <c r="H455" s="68">
        <v>60</v>
      </c>
      <c r="I455" s="69"/>
      <c r="J455" s="69"/>
      <c r="K455" s="70">
        <v>1</v>
      </c>
      <c r="L455" s="68">
        <v>180</v>
      </c>
      <c r="M455" s="71"/>
      <c r="N455" s="72">
        <v>4.7</v>
      </c>
      <c r="O455" s="84">
        <v>180</v>
      </c>
      <c r="P455" s="73"/>
      <c r="Q455" s="84">
        <v>0</v>
      </c>
      <c r="R455" s="74"/>
      <c r="S455" s="74"/>
      <c r="T455" s="75"/>
      <c r="U455" s="75"/>
      <c r="V455" s="76"/>
      <c r="W455" s="76"/>
      <c r="X455" s="77"/>
      <c r="Y455" s="78">
        <f>9/9</f>
        <v>1</v>
      </c>
      <c r="Z455" s="79">
        <v>4.09</v>
      </c>
      <c r="AA455" s="69">
        <v>1.34</v>
      </c>
      <c r="AB455" s="68">
        <v>22.5</v>
      </c>
      <c r="AC455" s="68">
        <v>52</v>
      </c>
      <c r="AD455" s="68"/>
      <c r="AE455" s="80"/>
      <c r="AF455" s="80"/>
      <c r="AG455" s="80"/>
      <c r="AH455" s="80"/>
      <c r="AI455" s="81" t="s">
        <v>293</v>
      </c>
      <c r="AJ455" s="81" t="s">
        <v>166</v>
      </c>
      <c r="AK455" s="81">
        <v>1966</v>
      </c>
      <c r="AL455" s="81" t="s">
        <v>208</v>
      </c>
      <c r="AM455" s="81"/>
    </row>
    <row r="456" spans="1:39" s="82" customFormat="1" x14ac:dyDescent="0.3">
      <c r="A456" s="67">
        <v>10</v>
      </c>
      <c r="B456" s="68">
        <v>10</v>
      </c>
      <c r="C456" s="68"/>
      <c r="D456" s="68">
        <v>3</v>
      </c>
      <c r="E456" s="91">
        <v>75</v>
      </c>
      <c r="F456" s="68">
        <v>0</v>
      </c>
      <c r="G456" s="69"/>
      <c r="H456" s="68">
        <v>60</v>
      </c>
      <c r="I456" s="69"/>
      <c r="J456" s="69"/>
      <c r="K456" s="70">
        <v>1</v>
      </c>
      <c r="L456" s="68">
        <v>180</v>
      </c>
      <c r="M456" s="71"/>
      <c r="N456" s="72">
        <v>5.7</v>
      </c>
      <c r="O456" s="84">
        <v>180</v>
      </c>
      <c r="P456" s="73"/>
      <c r="Q456" s="84">
        <v>0</v>
      </c>
      <c r="R456" s="74"/>
      <c r="S456" s="74"/>
      <c r="T456" s="75"/>
      <c r="U456" s="75"/>
      <c r="V456" s="76"/>
      <c r="W456" s="76"/>
      <c r="X456" s="77"/>
      <c r="Y456" s="78">
        <f>9/10</f>
        <v>0.9</v>
      </c>
      <c r="Z456" s="79">
        <v>4.09</v>
      </c>
      <c r="AA456" s="69">
        <v>1.34</v>
      </c>
      <c r="AB456" s="68">
        <v>22.5</v>
      </c>
      <c r="AC456" s="68">
        <v>52</v>
      </c>
      <c r="AD456" s="68"/>
      <c r="AE456" s="80"/>
      <c r="AF456" s="80"/>
      <c r="AG456" s="80"/>
      <c r="AH456" s="80"/>
      <c r="AI456" s="81" t="s">
        <v>294</v>
      </c>
      <c r="AJ456" s="81" t="s">
        <v>166</v>
      </c>
      <c r="AK456" s="81">
        <v>1966</v>
      </c>
      <c r="AL456" s="81" t="s">
        <v>208</v>
      </c>
      <c r="AM456" s="81"/>
    </row>
    <row r="457" spans="1:39" s="82" customFormat="1" x14ac:dyDescent="0.3">
      <c r="A457" s="67">
        <v>10</v>
      </c>
      <c r="B457" s="68">
        <v>10</v>
      </c>
      <c r="C457" s="68"/>
      <c r="D457" s="68">
        <v>0</v>
      </c>
      <c r="E457" s="91"/>
      <c r="F457" s="68">
        <v>0</v>
      </c>
      <c r="G457" s="69"/>
      <c r="H457" s="68"/>
      <c r="I457" s="69"/>
      <c r="J457" s="69"/>
      <c r="K457" s="70">
        <v>1</v>
      </c>
      <c r="L457" s="68">
        <v>180</v>
      </c>
      <c r="M457" s="71"/>
      <c r="N457" s="72">
        <v>1.7</v>
      </c>
      <c r="O457" s="84">
        <v>180</v>
      </c>
      <c r="P457" s="73">
        <v>0.68600000000000005</v>
      </c>
      <c r="Q457" s="84">
        <v>0</v>
      </c>
      <c r="R457" s="74">
        <v>3.61</v>
      </c>
      <c r="S457" s="74">
        <v>7.69</v>
      </c>
      <c r="T457" s="75"/>
      <c r="U457" s="75"/>
      <c r="V457" s="76"/>
      <c r="W457" s="76"/>
      <c r="X457" s="77"/>
      <c r="Y457" s="78">
        <v>0.5</v>
      </c>
      <c r="Z457" s="79">
        <v>5.14</v>
      </c>
      <c r="AA457" s="69">
        <v>0.59</v>
      </c>
      <c r="AB457" s="68">
        <v>27.2</v>
      </c>
      <c r="AC457" s="68">
        <v>10.3</v>
      </c>
      <c r="AD457" s="68"/>
      <c r="AE457" s="80"/>
      <c r="AF457" s="80"/>
      <c r="AG457" s="80"/>
      <c r="AH457" s="80"/>
      <c r="AI457" s="81" t="s">
        <v>171</v>
      </c>
      <c r="AJ457" s="81" t="s">
        <v>166</v>
      </c>
      <c r="AK457" s="81">
        <v>1966</v>
      </c>
      <c r="AL457" s="81" t="s">
        <v>208</v>
      </c>
      <c r="AM457" s="81"/>
    </row>
    <row r="458" spans="1:39" s="82" customFormat="1" x14ac:dyDescent="0.3">
      <c r="A458" s="67">
        <v>8</v>
      </c>
      <c r="B458" s="68">
        <v>8</v>
      </c>
      <c r="C458" s="68"/>
      <c r="D458" s="68">
        <v>0</v>
      </c>
      <c r="E458" s="91"/>
      <c r="F458" s="68">
        <v>0</v>
      </c>
      <c r="G458" s="69"/>
      <c r="H458" s="68"/>
      <c r="I458" s="69"/>
      <c r="J458" s="69"/>
      <c r="K458" s="70">
        <v>1</v>
      </c>
      <c r="L458" s="68">
        <v>180</v>
      </c>
      <c r="M458" s="71"/>
      <c r="N458" s="72">
        <v>2.7</v>
      </c>
      <c r="O458" s="84">
        <v>180</v>
      </c>
      <c r="P458" s="73">
        <v>0.68600000000000005</v>
      </c>
      <c r="Q458" s="84">
        <v>0</v>
      </c>
      <c r="R458" s="74">
        <v>3.61</v>
      </c>
      <c r="S458" s="74">
        <v>7.69</v>
      </c>
      <c r="T458" s="75"/>
      <c r="U458" s="75"/>
      <c r="V458" s="76"/>
      <c r="W458" s="76"/>
      <c r="X458" s="77"/>
      <c r="Y458" s="78">
        <v>0.75</v>
      </c>
      <c r="Z458" s="79">
        <v>5.14</v>
      </c>
      <c r="AA458" s="69">
        <v>0.59</v>
      </c>
      <c r="AB458" s="68">
        <v>27.2</v>
      </c>
      <c r="AC458" s="68">
        <v>10.3</v>
      </c>
      <c r="AD458" s="68"/>
      <c r="AE458" s="80"/>
      <c r="AF458" s="80"/>
      <c r="AG458" s="80"/>
      <c r="AH458" s="80"/>
      <c r="AI458" s="81" t="s">
        <v>170</v>
      </c>
      <c r="AJ458" s="81" t="s">
        <v>166</v>
      </c>
      <c r="AK458" s="81">
        <v>1966</v>
      </c>
      <c r="AL458" s="81" t="s">
        <v>208</v>
      </c>
      <c r="AM458" s="81"/>
    </row>
    <row r="459" spans="1:39" s="82" customFormat="1" x14ac:dyDescent="0.3">
      <c r="A459" s="67">
        <v>11</v>
      </c>
      <c r="B459" s="68">
        <v>11</v>
      </c>
      <c r="C459" s="68"/>
      <c r="D459" s="68">
        <v>0</v>
      </c>
      <c r="E459" s="91"/>
      <c r="F459" s="68">
        <v>0</v>
      </c>
      <c r="G459" s="69"/>
      <c r="H459" s="68"/>
      <c r="I459" s="69"/>
      <c r="J459" s="69"/>
      <c r="K459" s="70">
        <v>1</v>
      </c>
      <c r="L459" s="68">
        <v>180</v>
      </c>
      <c r="M459" s="71"/>
      <c r="N459" s="72">
        <v>3.7</v>
      </c>
      <c r="O459" s="84">
        <v>180</v>
      </c>
      <c r="P459" s="73">
        <v>0.68600000000000005</v>
      </c>
      <c r="Q459" s="84">
        <v>0</v>
      </c>
      <c r="R459" s="74">
        <v>3.61</v>
      </c>
      <c r="S459" s="74">
        <v>7.69</v>
      </c>
      <c r="T459" s="75"/>
      <c r="U459" s="75"/>
      <c r="V459" s="76"/>
      <c r="W459" s="76"/>
      <c r="X459" s="77"/>
      <c r="Y459" s="78">
        <v>1</v>
      </c>
      <c r="Z459" s="79">
        <v>5.14</v>
      </c>
      <c r="AA459" s="69">
        <v>0.59</v>
      </c>
      <c r="AB459" s="68">
        <v>27.2</v>
      </c>
      <c r="AC459" s="68">
        <v>10.3</v>
      </c>
      <c r="AD459" s="68"/>
      <c r="AE459" s="80"/>
      <c r="AF459" s="80"/>
      <c r="AG459" s="80"/>
      <c r="AH459" s="80"/>
      <c r="AI459" s="81" t="s">
        <v>169</v>
      </c>
      <c r="AJ459" s="81" t="s">
        <v>166</v>
      </c>
      <c r="AK459" s="81">
        <v>1966</v>
      </c>
      <c r="AL459" s="81" t="s">
        <v>208</v>
      </c>
      <c r="AM459" s="81"/>
    </row>
    <row r="460" spans="1:39" x14ac:dyDescent="0.3">
      <c r="A460" s="1">
        <v>10</v>
      </c>
      <c r="B460" s="2">
        <v>10</v>
      </c>
      <c r="D460" s="68">
        <v>0</v>
      </c>
      <c r="E460" s="91"/>
      <c r="F460" s="2">
        <v>0</v>
      </c>
      <c r="K460" s="4">
        <v>1</v>
      </c>
      <c r="L460" s="68">
        <v>180</v>
      </c>
      <c r="N460" s="6">
        <v>4.7</v>
      </c>
      <c r="O460" s="84">
        <v>180</v>
      </c>
      <c r="P460" s="7">
        <v>0.68600000000000005</v>
      </c>
      <c r="Q460" s="84">
        <v>0</v>
      </c>
      <c r="R460" s="8">
        <v>3.61</v>
      </c>
      <c r="S460" s="74">
        <v>7.69</v>
      </c>
      <c r="X460" s="77"/>
      <c r="Y460" s="12">
        <v>0.9</v>
      </c>
      <c r="Z460" s="13">
        <v>5.14</v>
      </c>
      <c r="AA460" s="3">
        <v>0.59</v>
      </c>
      <c r="AB460" s="2">
        <v>27.2</v>
      </c>
      <c r="AC460" s="2">
        <v>10.3</v>
      </c>
      <c r="AI460" s="81" t="s">
        <v>168</v>
      </c>
      <c r="AJ460" s="81" t="s">
        <v>166</v>
      </c>
      <c r="AK460" s="81">
        <v>1966</v>
      </c>
      <c r="AL460" s="81" t="s">
        <v>208</v>
      </c>
    </row>
    <row r="461" spans="1:39" x14ac:dyDescent="0.3">
      <c r="A461" s="1">
        <v>9</v>
      </c>
      <c r="B461" s="2">
        <v>9</v>
      </c>
      <c r="D461" s="2">
        <v>0</v>
      </c>
      <c r="F461" s="2">
        <v>0</v>
      </c>
      <c r="K461" s="4">
        <v>1</v>
      </c>
      <c r="L461" s="2">
        <v>180</v>
      </c>
      <c r="N461" s="6">
        <v>5.7</v>
      </c>
      <c r="O461" s="17">
        <v>180</v>
      </c>
      <c r="P461" s="7">
        <v>0.68600000000000005</v>
      </c>
      <c r="Q461" s="84">
        <v>0</v>
      </c>
      <c r="R461" s="8">
        <v>3.61</v>
      </c>
      <c r="S461" s="8">
        <v>7.69</v>
      </c>
      <c r="Y461" s="12">
        <v>1</v>
      </c>
      <c r="Z461" s="13">
        <v>5.14</v>
      </c>
      <c r="AA461" s="3">
        <v>0.59</v>
      </c>
      <c r="AB461" s="2">
        <v>27.2</v>
      </c>
      <c r="AC461" s="2">
        <v>10.3</v>
      </c>
      <c r="AI461" s="15" t="s">
        <v>167</v>
      </c>
      <c r="AJ461" s="15" t="s">
        <v>166</v>
      </c>
      <c r="AK461" s="15">
        <v>1966</v>
      </c>
      <c r="AL461" s="15" t="s">
        <v>208</v>
      </c>
      <c r="AM461" s="81"/>
    </row>
    <row r="462" spans="1:39" x14ac:dyDescent="0.3">
      <c r="A462" s="1">
        <v>8</v>
      </c>
      <c r="D462" s="2">
        <v>3</v>
      </c>
      <c r="E462" s="2">
        <v>75</v>
      </c>
      <c r="F462" s="2">
        <v>0</v>
      </c>
      <c r="K462" s="4">
        <v>1</v>
      </c>
      <c r="L462" s="2">
        <v>450</v>
      </c>
      <c r="M462" s="5">
        <v>75</v>
      </c>
      <c r="O462" s="17">
        <v>450</v>
      </c>
      <c r="Q462" s="84">
        <v>0</v>
      </c>
      <c r="X462" s="11">
        <v>480</v>
      </c>
      <c r="AI462" s="15" t="s">
        <v>296</v>
      </c>
      <c r="AJ462" s="15" t="s">
        <v>166</v>
      </c>
      <c r="AK462" s="15">
        <v>1966</v>
      </c>
      <c r="AL462" s="15" t="s">
        <v>208</v>
      </c>
      <c r="AM462" s="81"/>
    </row>
    <row r="463" spans="1:39" x14ac:dyDescent="0.3">
      <c r="A463" s="1">
        <v>8</v>
      </c>
      <c r="B463" s="2">
        <v>8</v>
      </c>
      <c r="D463" s="2">
        <v>4</v>
      </c>
      <c r="E463" s="2">
        <v>75</v>
      </c>
      <c r="F463" s="2">
        <v>0</v>
      </c>
      <c r="K463" s="4">
        <v>1</v>
      </c>
      <c r="L463" s="2">
        <v>480</v>
      </c>
      <c r="N463" s="6">
        <v>1.7</v>
      </c>
      <c r="O463" s="17">
        <v>480</v>
      </c>
      <c r="Q463" s="84">
        <v>0</v>
      </c>
      <c r="Y463" s="12">
        <f>3/8</f>
        <v>0.375</v>
      </c>
      <c r="Z463" s="13">
        <v>4.1100000000000003</v>
      </c>
      <c r="AA463" s="3">
        <v>1.06</v>
      </c>
      <c r="AB463" s="2">
        <v>21.3</v>
      </c>
      <c r="AC463" s="2">
        <v>49</v>
      </c>
      <c r="AI463" s="15" t="s">
        <v>296</v>
      </c>
      <c r="AJ463" s="15" t="s">
        <v>166</v>
      </c>
      <c r="AK463" s="15">
        <v>1966</v>
      </c>
      <c r="AL463" s="15" t="s">
        <v>208</v>
      </c>
      <c r="AM463" s="81"/>
    </row>
    <row r="464" spans="1:39" x14ac:dyDescent="0.3">
      <c r="A464" s="1">
        <v>10</v>
      </c>
      <c r="D464" s="2">
        <v>3</v>
      </c>
      <c r="E464" s="2">
        <v>75</v>
      </c>
      <c r="F464" s="2">
        <v>0</v>
      </c>
      <c r="K464" s="4">
        <v>1</v>
      </c>
      <c r="L464" s="2">
        <v>450</v>
      </c>
      <c r="M464" s="5">
        <v>75</v>
      </c>
      <c r="O464" s="17">
        <v>450</v>
      </c>
      <c r="Q464" s="84">
        <v>0</v>
      </c>
      <c r="X464" s="11">
        <v>480</v>
      </c>
      <c r="AI464" s="15" t="s">
        <v>295</v>
      </c>
      <c r="AJ464" s="15" t="s">
        <v>166</v>
      </c>
      <c r="AK464" s="15">
        <v>1966</v>
      </c>
      <c r="AL464" s="15" t="s">
        <v>208</v>
      </c>
    </row>
    <row r="465" spans="1:38" x14ac:dyDescent="0.3">
      <c r="A465" s="1">
        <v>10</v>
      </c>
      <c r="B465" s="2">
        <v>10</v>
      </c>
      <c r="D465" s="2">
        <v>4</v>
      </c>
      <c r="E465" s="2">
        <v>75</v>
      </c>
      <c r="F465" s="2">
        <v>0</v>
      </c>
      <c r="K465" s="4">
        <v>1</v>
      </c>
      <c r="L465" s="2">
        <v>480</v>
      </c>
      <c r="N465" s="6">
        <v>2.7</v>
      </c>
      <c r="O465" s="17">
        <v>480</v>
      </c>
      <c r="Q465" s="84">
        <v>0</v>
      </c>
      <c r="Y465" s="12">
        <f>4/10</f>
        <v>0.4</v>
      </c>
      <c r="Z465" s="13">
        <v>4.1100000000000003</v>
      </c>
      <c r="AA465" s="3">
        <v>1.06</v>
      </c>
      <c r="AB465" s="2">
        <v>21.3</v>
      </c>
      <c r="AC465" s="2">
        <v>49</v>
      </c>
      <c r="AI465" s="15" t="s">
        <v>295</v>
      </c>
      <c r="AJ465" s="15" t="s">
        <v>166</v>
      </c>
      <c r="AK465" s="15">
        <v>1966</v>
      </c>
      <c r="AL465" s="15" t="s">
        <v>208</v>
      </c>
    </row>
    <row r="466" spans="1:38" x14ac:dyDescent="0.3">
      <c r="A466" s="1">
        <v>8</v>
      </c>
      <c r="D466" s="2">
        <v>3</v>
      </c>
      <c r="E466" s="2">
        <v>75</v>
      </c>
      <c r="F466" s="2">
        <v>0</v>
      </c>
      <c r="K466" s="4">
        <v>1</v>
      </c>
      <c r="L466" s="2">
        <v>450</v>
      </c>
      <c r="M466" s="5">
        <v>75</v>
      </c>
      <c r="O466" s="17">
        <v>450</v>
      </c>
      <c r="Q466" s="84">
        <v>0</v>
      </c>
      <c r="X466" s="11">
        <v>480</v>
      </c>
      <c r="AI466" s="15" t="s">
        <v>297</v>
      </c>
      <c r="AJ466" s="15" t="s">
        <v>166</v>
      </c>
      <c r="AK466" s="15">
        <v>1966</v>
      </c>
      <c r="AL466" s="15" t="s">
        <v>208</v>
      </c>
    </row>
    <row r="467" spans="1:38" x14ac:dyDescent="0.3">
      <c r="A467" s="1">
        <v>8</v>
      </c>
      <c r="B467" s="2">
        <v>8</v>
      </c>
      <c r="D467" s="2">
        <v>4</v>
      </c>
      <c r="E467" s="2">
        <v>75</v>
      </c>
      <c r="F467" s="2">
        <v>0</v>
      </c>
      <c r="K467" s="4">
        <v>1</v>
      </c>
      <c r="L467" s="2">
        <v>480</v>
      </c>
      <c r="N467" s="6">
        <v>3.7</v>
      </c>
      <c r="O467" s="17">
        <v>480</v>
      </c>
      <c r="Q467" s="84">
        <v>0</v>
      </c>
      <c r="Y467" s="12">
        <f>4/8</f>
        <v>0.5</v>
      </c>
      <c r="Z467" s="13">
        <v>4.1100000000000003</v>
      </c>
      <c r="AA467" s="3">
        <v>1.06</v>
      </c>
      <c r="AB467" s="2">
        <v>21.3</v>
      </c>
      <c r="AC467" s="2">
        <v>49</v>
      </c>
      <c r="AI467" s="15" t="s">
        <v>297</v>
      </c>
      <c r="AJ467" s="15" t="s">
        <v>166</v>
      </c>
      <c r="AK467" s="15">
        <v>1966</v>
      </c>
      <c r="AL467" s="15" t="s">
        <v>208</v>
      </c>
    </row>
    <row r="468" spans="1:38" x14ac:dyDescent="0.3">
      <c r="A468" s="1">
        <v>9</v>
      </c>
      <c r="D468" s="2">
        <v>3</v>
      </c>
      <c r="E468" s="2">
        <v>75</v>
      </c>
      <c r="F468" s="2">
        <v>0</v>
      </c>
      <c r="K468" s="4">
        <v>1</v>
      </c>
      <c r="L468" s="2">
        <v>450</v>
      </c>
      <c r="M468" s="5">
        <v>75</v>
      </c>
      <c r="O468" s="17">
        <v>450</v>
      </c>
      <c r="Q468" s="84">
        <v>0</v>
      </c>
      <c r="X468" s="11">
        <v>480</v>
      </c>
      <c r="AI468" s="15" t="s">
        <v>298</v>
      </c>
      <c r="AJ468" s="15" t="s">
        <v>166</v>
      </c>
      <c r="AK468" s="15">
        <v>1966</v>
      </c>
      <c r="AL468" s="15" t="s">
        <v>208</v>
      </c>
    </row>
    <row r="469" spans="1:38" x14ac:dyDescent="0.3">
      <c r="A469" s="1">
        <v>9</v>
      </c>
      <c r="B469" s="2">
        <v>9</v>
      </c>
      <c r="D469" s="2">
        <v>4</v>
      </c>
      <c r="E469" s="2">
        <v>75</v>
      </c>
      <c r="F469" s="2">
        <v>0</v>
      </c>
      <c r="K469" s="4">
        <v>1</v>
      </c>
      <c r="L469" s="2">
        <v>480</v>
      </c>
      <c r="N469" s="6">
        <v>4.7</v>
      </c>
      <c r="O469" s="17">
        <v>480</v>
      </c>
      <c r="Q469" s="84">
        <v>0</v>
      </c>
      <c r="Y469" s="12">
        <f>9/9</f>
        <v>1</v>
      </c>
      <c r="Z469" s="13">
        <v>4.1100000000000003</v>
      </c>
      <c r="AA469" s="3">
        <v>1.06</v>
      </c>
      <c r="AB469" s="2">
        <v>21.3</v>
      </c>
      <c r="AC469" s="2">
        <v>49</v>
      </c>
      <c r="AI469" s="15" t="s">
        <v>298</v>
      </c>
      <c r="AJ469" s="15" t="s">
        <v>166</v>
      </c>
      <c r="AK469" s="15">
        <v>1966</v>
      </c>
      <c r="AL469" s="15" t="s">
        <v>208</v>
      </c>
    </row>
    <row r="470" spans="1:38" ht="15.75" customHeight="1" x14ac:dyDescent="0.3">
      <c r="A470" s="1">
        <v>8</v>
      </c>
      <c r="D470" s="2">
        <v>3</v>
      </c>
      <c r="E470" s="2">
        <v>75</v>
      </c>
      <c r="F470" s="2">
        <v>0</v>
      </c>
      <c r="K470" s="4">
        <v>1</v>
      </c>
      <c r="L470" s="2">
        <v>450</v>
      </c>
      <c r="M470" s="5">
        <v>75</v>
      </c>
      <c r="O470" s="17">
        <v>450</v>
      </c>
      <c r="Q470" s="84">
        <v>0</v>
      </c>
      <c r="X470" s="11">
        <v>480</v>
      </c>
      <c r="AI470" s="15" t="s">
        <v>299</v>
      </c>
      <c r="AJ470" s="15" t="s">
        <v>166</v>
      </c>
      <c r="AK470" s="15">
        <v>1966</v>
      </c>
      <c r="AL470" s="15" t="s">
        <v>208</v>
      </c>
    </row>
    <row r="471" spans="1:38" x14ac:dyDescent="0.3">
      <c r="A471" s="1">
        <v>8</v>
      </c>
      <c r="B471" s="2">
        <v>8</v>
      </c>
      <c r="D471" s="2">
        <v>4</v>
      </c>
      <c r="E471" s="2">
        <v>75</v>
      </c>
      <c r="F471" s="2">
        <v>0</v>
      </c>
      <c r="K471" s="4">
        <v>1</v>
      </c>
      <c r="L471" s="2">
        <v>480</v>
      </c>
      <c r="N471" s="6">
        <v>5.7</v>
      </c>
      <c r="O471" s="17">
        <v>480</v>
      </c>
      <c r="Q471" s="84">
        <v>0</v>
      </c>
      <c r="Y471" s="12">
        <f>8/8</f>
        <v>1</v>
      </c>
      <c r="Z471" s="13">
        <v>4.1100000000000003</v>
      </c>
      <c r="AA471" s="3">
        <v>1.06</v>
      </c>
      <c r="AB471" s="2">
        <v>21.3</v>
      </c>
      <c r="AC471" s="2">
        <v>49</v>
      </c>
      <c r="AI471" s="15" t="s">
        <v>299</v>
      </c>
      <c r="AJ471" s="15" t="s">
        <v>166</v>
      </c>
      <c r="AK471" s="15">
        <v>1966</v>
      </c>
      <c r="AL471" s="15" t="s">
        <v>208</v>
      </c>
    </row>
    <row r="472" spans="1:38" x14ac:dyDescent="0.3">
      <c r="A472" s="1">
        <v>9</v>
      </c>
      <c r="B472" s="2">
        <v>9</v>
      </c>
      <c r="D472" s="2">
        <v>0</v>
      </c>
      <c r="F472" s="2">
        <v>3</v>
      </c>
      <c r="G472" s="3">
        <v>5.7</v>
      </c>
      <c r="K472" s="4">
        <v>1</v>
      </c>
      <c r="L472" s="2">
        <v>480</v>
      </c>
      <c r="N472" s="6">
        <v>1.7</v>
      </c>
      <c r="O472" s="17">
        <v>480</v>
      </c>
      <c r="P472" s="7">
        <v>1</v>
      </c>
      <c r="Q472" s="84">
        <v>0</v>
      </c>
      <c r="R472" s="8">
        <v>8.3000000000000007</v>
      </c>
      <c r="S472" s="8">
        <v>9.7799999999999994</v>
      </c>
      <c r="Y472" s="12">
        <v>0</v>
      </c>
      <c r="AI472" s="15" t="s">
        <v>285</v>
      </c>
      <c r="AJ472" s="15" t="s">
        <v>166</v>
      </c>
      <c r="AK472" s="15">
        <v>1966</v>
      </c>
      <c r="AL472" s="15" t="s">
        <v>208</v>
      </c>
    </row>
    <row r="473" spans="1:38" x14ac:dyDescent="0.3">
      <c r="A473" s="1">
        <v>8</v>
      </c>
      <c r="B473" s="2">
        <v>8</v>
      </c>
      <c r="D473" s="2">
        <v>0</v>
      </c>
      <c r="F473" s="2">
        <v>3</v>
      </c>
      <c r="G473" s="3">
        <v>5.7</v>
      </c>
      <c r="K473" s="4">
        <v>1</v>
      </c>
      <c r="L473" s="2">
        <v>480</v>
      </c>
      <c r="N473" s="6">
        <v>2.7</v>
      </c>
      <c r="O473" s="17">
        <v>480</v>
      </c>
      <c r="P473" s="7">
        <v>1</v>
      </c>
      <c r="Q473" s="84">
        <v>0</v>
      </c>
      <c r="R473" s="8">
        <v>8.3000000000000007</v>
      </c>
      <c r="S473" s="8">
        <v>9.7799999999999994</v>
      </c>
      <c r="Y473" s="12">
        <v>0</v>
      </c>
      <c r="AI473" s="15" t="s">
        <v>286</v>
      </c>
      <c r="AJ473" s="15" t="s">
        <v>166</v>
      </c>
      <c r="AK473" s="15">
        <v>1966</v>
      </c>
      <c r="AL473" s="15" t="s">
        <v>208</v>
      </c>
    </row>
    <row r="474" spans="1:38" x14ac:dyDescent="0.3">
      <c r="A474" s="1">
        <v>10</v>
      </c>
      <c r="B474" s="2">
        <v>10</v>
      </c>
      <c r="D474" s="2">
        <v>0</v>
      </c>
      <c r="F474" s="2">
        <v>3</v>
      </c>
      <c r="G474" s="3">
        <v>5.7</v>
      </c>
      <c r="K474" s="4">
        <v>1</v>
      </c>
      <c r="L474" s="2">
        <v>480</v>
      </c>
      <c r="N474" s="6">
        <v>3.7</v>
      </c>
      <c r="O474" s="17">
        <v>480</v>
      </c>
      <c r="P474" s="7">
        <v>1</v>
      </c>
      <c r="Q474" s="84">
        <v>0</v>
      </c>
      <c r="R474" s="8">
        <v>8.3000000000000007</v>
      </c>
      <c r="S474" s="8">
        <v>9.7799999999999994</v>
      </c>
      <c r="Y474" s="12">
        <v>0.1</v>
      </c>
      <c r="Z474" s="13">
        <v>1.89</v>
      </c>
      <c r="AA474" s="3">
        <v>0.49</v>
      </c>
      <c r="AB474" s="2">
        <v>11.3</v>
      </c>
      <c r="AC474" s="2">
        <v>14.2</v>
      </c>
      <c r="AI474" s="15" t="s">
        <v>287</v>
      </c>
      <c r="AJ474" s="15" t="s">
        <v>166</v>
      </c>
      <c r="AK474" s="15">
        <v>1966</v>
      </c>
      <c r="AL474" s="15" t="s">
        <v>208</v>
      </c>
    </row>
    <row r="475" spans="1:38" x14ac:dyDescent="0.3">
      <c r="A475" s="1">
        <v>12</v>
      </c>
      <c r="B475" s="2">
        <v>12</v>
      </c>
      <c r="D475" s="2">
        <v>0</v>
      </c>
      <c r="F475" s="2">
        <v>3</v>
      </c>
      <c r="G475" s="3">
        <v>5.7</v>
      </c>
      <c r="K475" s="4">
        <v>1</v>
      </c>
      <c r="L475" s="2">
        <v>480</v>
      </c>
      <c r="N475" s="6">
        <v>4.7</v>
      </c>
      <c r="O475" s="17">
        <v>480</v>
      </c>
      <c r="P475" s="7">
        <v>1</v>
      </c>
      <c r="Q475" s="84">
        <v>0</v>
      </c>
      <c r="R475" s="8">
        <v>8.3000000000000007</v>
      </c>
      <c r="S475" s="8">
        <v>9.7799999999999994</v>
      </c>
      <c r="Y475" s="12">
        <v>0.58299999999999996</v>
      </c>
      <c r="Z475" s="13">
        <v>1.89</v>
      </c>
      <c r="AA475" s="3">
        <v>0.49</v>
      </c>
      <c r="AB475" s="2">
        <v>11.3</v>
      </c>
      <c r="AC475" s="2">
        <v>14.2</v>
      </c>
      <c r="AI475" s="15" t="s">
        <v>288</v>
      </c>
      <c r="AJ475" s="15" t="s">
        <v>166</v>
      </c>
      <c r="AK475" s="15">
        <v>1966</v>
      </c>
      <c r="AL475" s="15" t="s">
        <v>208</v>
      </c>
    </row>
    <row r="476" spans="1:38" x14ac:dyDescent="0.3">
      <c r="A476" s="1">
        <v>11</v>
      </c>
      <c r="B476" s="2">
        <v>11</v>
      </c>
      <c r="D476" s="2">
        <v>0</v>
      </c>
      <c r="F476" s="2">
        <v>3</v>
      </c>
      <c r="G476" s="3">
        <v>5.7</v>
      </c>
      <c r="K476" s="4">
        <v>1</v>
      </c>
      <c r="L476" s="2">
        <v>480</v>
      </c>
      <c r="N476" s="6">
        <v>5.7</v>
      </c>
      <c r="O476" s="17">
        <v>480</v>
      </c>
      <c r="P476" s="7">
        <v>1</v>
      </c>
      <c r="Q476" s="84">
        <v>0</v>
      </c>
      <c r="R476" s="8">
        <v>8.3000000000000007</v>
      </c>
      <c r="S476" s="8">
        <v>9.7799999999999994</v>
      </c>
      <c r="Y476" s="12">
        <v>0.72699999999999998</v>
      </c>
      <c r="Z476" s="13">
        <v>1.89</v>
      </c>
      <c r="AA476" s="3">
        <v>0.49</v>
      </c>
      <c r="AB476" s="2">
        <v>11.3</v>
      </c>
      <c r="AC476" s="2">
        <v>14.2</v>
      </c>
      <c r="AI476" s="15" t="s">
        <v>289</v>
      </c>
      <c r="AJ476" s="15" t="s">
        <v>166</v>
      </c>
      <c r="AK476" s="15">
        <v>1966</v>
      </c>
      <c r="AL476" s="15" t="s">
        <v>208</v>
      </c>
    </row>
    <row r="477" spans="1:38" x14ac:dyDescent="0.3">
      <c r="A477" s="1">
        <v>18</v>
      </c>
      <c r="B477" s="2">
        <v>18</v>
      </c>
      <c r="D477" s="2">
        <v>0</v>
      </c>
      <c r="F477" s="2">
        <v>0</v>
      </c>
      <c r="H477" s="2">
        <v>0</v>
      </c>
      <c r="I477" s="3">
        <v>2.5</v>
      </c>
      <c r="J477" s="3">
        <v>1.6</v>
      </c>
      <c r="K477" s="4">
        <v>1</v>
      </c>
      <c r="L477" s="2">
        <v>0</v>
      </c>
      <c r="N477" s="6">
        <v>6.7</v>
      </c>
      <c r="O477" s="17">
        <v>0</v>
      </c>
      <c r="P477" s="7">
        <v>0.5</v>
      </c>
      <c r="Q477" s="84">
        <v>0</v>
      </c>
      <c r="R477" s="8">
        <v>2.5</v>
      </c>
      <c r="S477" s="8">
        <v>1.6</v>
      </c>
      <c r="Y477" s="12">
        <v>0.89</v>
      </c>
      <c r="AB477" s="2">
        <v>13.3</v>
      </c>
      <c r="AC477" s="2">
        <v>28</v>
      </c>
      <c r="AI477" s="15" t="s">
        <v>520</v>
      </c>
      <c r="AJ477" s="15" t="s">
        <v>518</v>
      </c>
      <c r="AK477" s="15">
        <v>1962</v>
      </c>
      <c r="AL477" s="15" t="s">
        <v>519</v>
      </c>
    </row>
    <row r="478" spans="1:38" x14ac:dyDescent="0.3">
      <c r="A478" s="1">
        <v>19</v>
      </c>
      <c r="B478" s="2">
        <v>19</v>
      </c>
      <c r="D478" s="2">
        <v>0</v>
      </c>
      <c r="F478" s="2">
        <v>0</v>
      </c>
      <c r="H478" s="2">
        <v>0</v>
      </c>
      <c r="I478" s="3">
        <v>10</v>
      </c>
      <c r="J478" s="3">
        <v>0.3</v>
      </c>
      <c r="K478" s="4">
        <v>1</v>
      </c>
      <c r="L478" s="2">
        <v>0</v>
      </c>
      <c r="N478" s="6">
        <v>6.7</v>
      </c>
      <c r="O478" s="17">
        <v>0</v>
      </c>
      <c r="P478" s="7">
        <v>1</v>
      </c>
      <c r="Q478" s="84">
        <v>0</v>
      </c>
      <c r="R478" s="8">
        <v>10</v>
      </c>
      <c r="S478" s="8">
        <v>0.3</v>
      </c>
      <c r="Y478" s="12">
        <v>0.47</v>
      </c>
      <c r="AB478" s="2">
        <v>18.2</v>
      </c>
      <c r="AC478" s="2">
        <v>30</v>
      </c>
      <c r="AI478" s="15" t="s">
        <v>522</v>
      </c>
      <c r="AJ478" s="15" t="s">
        <v>518</v>
      </c>
      <c r="AK478" s="15">
        <v>1962</v>
      </c>
      <c r="AL478" s="15" t="s">
        <v>519</v>
      </c>
    </row>
    <row r="479" spans="1:38" x14ac:dyDescent="0.3">
      <c r="A479" s="1">
        <v>41</v>
      </c>
      <c r="B479" s="2">
        <v>41</v>
      </c>
      <c r="D479" s="2">
        <v>0</v>
      </c>
      <c r="F479" s="2">
        <v>0</v>
      </c>
      <c r="H479" s="2">
        <v>0</v>
      </c>
      <c r="I479" s="3">
        <v>7</v>
      </c>
      <c r="J479" s="3">
        <v>0.3</v>
      </c>
      <c r="K479" s="4">
        <v>1</v>
      </c>
      <c r="L479" s="2">
        <v>0</v>
      </c>
      <c r="N479" s="6">
        <v>6.7</v>
      </c>
      <c r="O479" s="17">
        <v>0</v>
      </c>
      <c r="P479" s="7">
        <v>1</v>
      </c>
      <c r="Q479" s="84">
        <v>0</v>
      </c>
      <c r="R479" s="8">
        <v>7</v>
      </c>
      <c r="S479" s="8">
        <v>0.3</v>
      </c>
      <c r="Y479" s="12">
        <v>0.81</v>
      </c>
      <c r="AB479" s="2">
        <v>15.3</v>
      </c>
      <c r="AC479" s="2">
        <v>36</v>
      </c>
      <c r="AI479" s="15" t="s">
        <v>521</v>
      </c>
      <c r="AJ479" s="15" t="s">
        <v>518</v>
      </c>
      <c r="AK479" s="15">
        <v>1962</v>
      </c>
      <c r="AL479" s="15" t="s">
        <v>519</v>
      </c>
    </row>
    <row r="480" spans="1:38" x14ac:dyDescent="0.3">
      <c r="A480" s="1">
        <v>3</v>
      </c>
      <c r="B480" s="2">
        <v>3</v>
      </c>
      <c r="D480" s="2">
        <v>0</v>
      </c>
      <c r="F480" s="2">
        <v>0</v>
      </c>
      <c r="H480" s="2">
        <v>0</v>
      </c>
      <c r="I480" s="3">
        <v>2.5</v>
      </c>
      <c r="J480" s="3">
        <v>1.6</v>
      </c>
      <c r="K480" s="4">
        <v>1</v>
      </c>
      <c r="L480" s="2">
        <v>0</v>
      </c>
      <c r="N480" s="6">
        <v>6.7</v>
      </c>
      <c r="O480" s="17">
        <v>0</v>
      </c>
      <c r="P480" s="7">
        <v>0.5</v>
      </c>
      <c r="Q480" s="84">
        <v>0</v>
      </c>
      <c r="R480" s="8">
        <v>2.5</v>
      </c>
      <c r="S480" s="8">
        <v>1.6</v>
      </c>
      <c r="Y480" s="12">
        <v>1</v>
      </c>
      <c r="AB480" s="2">
        <v>8</v>
      </c>
      <c r="AC480" s="2">
        <v>0</v>
      </c>
      <c r="AI480" s="15" t="s">
        <v>523</v>
      </c>
      <c r="AJ480" s="15" t="s">
        <v>518</v>
      </c>
      <c r="AK480" s="15">
        <v>1962</v>
      </c>
      <c r="AL480" s="15" t="s">
        <v>519</v>
      </c>
    </row>
    <row r="481" spans="1:39" x14ac:dyDescent="0.3">
      <c r="A481" s="1">
        <v>7</v>
      </c>
      <c r="B481" s="2">
        <v>7</v>
      </c>
      <c r="D481" s="2">
        <v>0</v>
      </c>
      <c r="F481" s="2">
        <v>0</v>
      </c>
      <c r="H481" s="2">
        <v>0</v>
      </c>
      <c r="I481" s="3">
        <v>10</v>
      </c>
      <c r="J481" s="3">
        <v>0.3</v>
      </c>
      <c r="K481" s="4">
        <v>1</v>
      </c>
      <c r="L481" s="2">
        <v>0</v>
      </c>
      <c r="N481" s="6">
        <v>6.7</v>
      </c>
      <c r="O481" s="17">
        <v>0</v>
      </c>
      <c r="P481" s="7">
        <v>1</v>
      </c>
      <c r="Q481" s="84">
        <v>0</v>
      </c>
      <c r="R481" s="8">
        <v>10</v>
      </c>
      <c r="S481" s="8">
        <v>0.3</v>
      </c>
      <c r="Y481" s="12">
        <v>0.14000000000000001</v>
      </c>
      <c r="AB481" s="2">
        <v>22</v>
      </c>
      <c r="AC481" s="2">
        <v>0</v>
      </c>
      <c r="AI481" s="15" t="s">
        <v>525</v>
      </c>
      <c r="AJ481" s="15" t="s">
        <v>518</v>
      </c>
      <c r="AK481" s="15">
        <v>1962</v>
      </c>
      <c r="AL481" s="15" t="s">
        <v>519</v>
      </c>
    </row>
    <row r="482" spans="1:39" x14ac:dyDescent="0.3">
      <c r="A482" s="1">
        <v>15</v>
      </c>
      <c r="B482" s="2">
        <v>15</v>
      </c>
      <c r="D482" s="2">
        <v>0</v>
      </c>
      <c r="F482" s="2">
        <v>0</v>
      </c>
      <c r="H482" s="2">
        <v>0</v>
      </c>
      <c r="I482" s="3">
        <v>7</v>
      </c>
      <c r="J482" s="3">
        <v>0.3</v>
      </c>
      <c r="K482" s="4">
        <v>1</v>
      </c>
      <c r="L482" s="2">
        <v>0</v>
      </c>
      <c r="N482" s="6">
        <v>6.7</v>
      </c>
      <c r="O482" s="17">
        <v>0</v>
      </c>
      <c r="P482" s="7">
        <v>1</v>
      </c>
      <c r="Q482" s="84">
        <v>0</v>
      </c>
      <c r="R482" s="8">
        <v>7</v>
      </c>
      <c r="S482" s="8">
        <v>0.3</v>
      </c>
      <c r="Y482" s="12">
        <v>0.47</v>
      </c>
      <c r="AB482" s="2">
        <v>9.6999999999999993</v>
      </c>
      <c r="AC482" s="2">
        <v>3.9</v>
      </c>
      <c r="AI482" s="15" t="s">
        <v>524</v>
      </c>
      <c r="AJ482" s="15" t="s">
        <v>518</v>
      </c>
      <c r="AK482" s="15">
        <v>1962</v>
      </c>
      <c r="AL482" s="15" t="s">
        <v>519</v>
      </c>
    </row>
    <row r="483" spans="1:39" x14ac:dyDescent="0.3">
      <c r="A483" s="1">
        <v>3</v>
      </c>
      <c r="B483" s="2">
        <v>3</v>
      </c>
      <c r="D483" s="2">
        <v>0</v>
      </c>
      <c r="F483" s="2">
        <v>0</v>
      </c>
      <c r="K483" s="4">
        <v>3</v>
      </c>
      <c r="L483" s="2">
        <v>0</v>
      </c>
      <c r="N483" s="72">
        <v>6.43</v>
      </c>
      <c r="O483" s="17">
        <v>0</v>
      </c>
      <c r="Y483" s="12">
        <v>1</v>
      </c>
      <c r="AB483" s="2">
        <v>22</v>
      </c>
      <c r="AC483" s="2">
        <v>0</v>
      </c>
      <c r="AI483" s="15" t="s">
        <v>523</v>
      </c>
      <c r="AJ483" s="15" t="s">
        <v>518</v>
      </c>
      <c r="AK483" s="15">
        <v>1962</v>
      </c>
      <c r="AL483" s="15" t="s">
        <v>519</v>
      </c>
    </row>
    <row r="484" spans="1:39" x14ac:dyDescent="0.3">
      <c r="A484" s="1">
        <v>7</v>
      </c>
      <c r="B484" s="2">
        <v>7</v>
      </c>
      <c r="D484" s="2">
        <v>0</v>
      </c>
      <c r="F484" s="2">
        <v>0</v>
      </c>
      <c r="K484" s="4">
        <v>3</v>
      </c>
      <c r="L484" s="2">
        <v>0</v>
      </c>
      <c r="N484" s="72">
        <v>6.43</v>
      </c>
      <c r="O484" s="17">
        <v>0</v>
      </c>
      <c r="Y484" s="12">
        <v>0.43</v>
      </c>
      <c r="AB484" s="2">
        <v>15.3</v>
      </c>
      <c r="AC484" s="2">
        <v>22</v>
      </c>
      <c r="AI484" s="15" t="s">
        <v>525</v>
      </c>
      <c r="AJ484" s="15" t="s">
        <v>518</v>
      </c>
      <c r="AK484" s="15">
        <v>1962</v>
      </c>
      <c r="AL484" s="15" t="s">
        <v>519</v>
      </c>
    </row>
    <row r="485" spans="1:39" x14ac:dyDescent="0.3">
      <c r="A485" s="1">
        <v>15</v>
      </c>
      <c r="B485" s="2">
        <v>15</v>
      </c>
      <c r="D485" s="2">
        <v>0</v>
      </c>
      <c r="F485" s="2">
        <v>0</v>
      </c>
      <c r="K485" s="4">
        <v>3</v>
      </c>
      <c r="L485" s="2">
        <v>0</v>
      </c>
      <c r="N485" s="6">
        <v>6.43</v>
      </c>
      <c r="O485" s="17">
        <v>0</v>
      </c>
      <c r="Y485" s="12">
        <v>1</v>
      </c>
      <c r="AB485" s="2">
        <v>16.5</v>
      </c>
      <c r="AC485" s="2">
        <v>36</v>
      </c>
      <c r="AI485" s="15" t="s">
        <v>524</v>
      </c>
      <c r="AJ485" s="15" t="s">
        <v>518</v>
      </c>
      <c r="AK485" s="15">
        <v>1962</v>
      </c>
      <c r="AL485" s="15" t="s">
        <v>519</v>
      </c>
    </row>
    <row r="486" spans="1:39" x14ac:dyDescent="0.3">
      <c r="A486" s="1">
        <v>0</v>
      </c>
      <c r="B486" s="2">
        <v>128</v>
      </c>
      <c r="D486" s="2">
        <v>0</v>
      </c>
      <c r="F486" s="2">
        <v>0</v>
      </c>
      <c r="K486" s="4">
        <v>1</v>
      </c>
      <c r="L486" s="2">
        <f>8*365</f>
        <v>2920</v>
      </c>
      <c r="Y486" s="12">
        <v>1</v>
      </c>
      <c r="AH486" s="80" t="s">
        <v>402</v>
      </c>
      <c r="AI486" s="15" t="s">
        <v>403</v>
      </c>
      <c r="AJ486" s="15" t="s">
        <v>218</v>
      </c>
      <c r="AK486" s="15">
        <v>1946</v>
      </c>
      <c r="AL486" s="15" t="s">
        <v>404</v>
      </c>
      <c r="AM486" s="15" t="s">
        <v>462</v>
      </c>
    </row>
    <row r="487" spans="1:39" x14ac:dyDescent="0.3">
      <c r="A487" s="1">
        <v>22</v>
      </c>
      <c r="B487" s="2">
        <v>22</v>
      </c>
      <c r="D487" s="2">
        <v>3</v>
      </c>
      <c r="E487" s="2">
        <v>20</v>
      </c>
      <c r="F487" s="2">
        <v>0</v>
      </c>
      <c r="K487" s="4">
        <v>1</v>
      </c>
      <c r="L487" s="2">
        <v>720</v>
      </c>
      <c r="N487" s="6">
        <v>5</v>
      </c>
      <c r="O487" s="17">
        <v>700</v>
      </c>
      <c r="P487" s="7">
        <v>0</v>
      </c>
      <c r="Q487" s="84">
        <v>0</v>
      </c>
      <c r="W487" s="10">
        <v>1</v>
      </c>
      <c r="X487" s="11">
        <f>720+30*2+35</f>
        <v>815</v>
      </c>
      <c r="AI487" s="15" t="s">
        <v>213</v>
      </c>
      <c r="AJ487" s="15" t="s">
        <v>218</v>
      </c>
      <c r="AK487" s="15">
        <v>1961</v>
      </c>
      <c r="AL487" s="15" t="s">
        <v>219</v>
      </c>
    </row>
    <row r="488" spans="1:39" s="82" customFormat="1" x14ac:dyDescent="0.3">
      <c r="A488" s="67">
        <v>0</v>
      </c>
      <c r="B488" s="68">
        <v>42</v>
      </c>
      <c r="C488" s="68"/>
      <c r="D488" s="68">
        <v>3</v>
      </c>
      <c r="E488" s="68">
        <v>20</v>
      </c>
      <c r="F488" s="68">
        <v>0</v>
      </c>
      <c r="G488" s="69"/>
      <c r="H488" s="68"/>
      <c r="I488" s="69"/>
      <c r="J488" s="69"/>
      <c r="K488" s="70">
        <v>1</v>
      </c>
      <c r="L488" s="68">
        <v>720</v>
      </c>
      <c r="M488" s="71"/>
      <c r="N488" s="72">
        <v>5</v>
      </c>
      <c r="O488" s="84">
        <v>700</v>
      </c>
      <c r="P488" s="73">
        <v>0</v>
      </c>
      <c r="Q488" s="84">
        <v>0</v>
      </c>
      <c r="R488" s="74"/>
      <c r="S488" s="74"/>
      <c r="T488" s="75">
        <v>8.76</v>
      </c>
      <c r="U488" s="75">
        <v>6.28</v>
      </c>
      <c r="V488" s="76"/>
      <c r="W488" s="76">
        <f>40/42</f>
        <v>0.95238095238095233</v>
      </c>
      <c r="X488" s="77">
        <v>815</v>
      </c>
      <c r="Y488" s="78"/>
      <c r="Z488" s="79"/>
      <c r="AA488" s="69"/>
      <c r="AB488" s="68"/>
      <c r="AC488" s="68"/>
      <c r="AD488" s="68"/>
      <c r="AE488" s="80"/>
      <c r="AF488" s="80"/>
      <c r="AG488" s="80"/>
      <c r="AH488" s="80"/>
      <c r="AI488" s="81" t="s">
        <v>222</v>
      </c>
      <c r="AJ488" s="81" t="s">
        <v>218</v>
      </c>
      <c r="AK488" s="81">
        <v>1961</v>
      </c>
      <c r="AL488" s="81" t="s">
        <v>219</v>
      </c>
      <c r="AM488" s="81" t="s">
        <v>257</v>
      </c>
    </row>
    <row r="489" spans="1:39" s="82" customFormat="1" x14ac:dyDescent="0.3">
      <c r="A489" s="67">
        <v>20</v>
      </c>
      <c r="B489" s="68">
        <v>20</v>
      </c>
      <c r="C489" s="68"/>
      <c r="D489" s="68">
        <v>3</v>
      </c>
      <c r="E489" s="68">
        <v>20</v>
      </c>
      <c r="F489" s="68">
        <v>0</v>
      </c>
      <c r="G489" s="69"/>
      <c r="H489" s="68"/>
      <c r="I489" s="69"/>
      <c r="J489" s="69"/>
      <c r="K489" s="70">
        <v>1</v>
      </c>
      <c r="L489" s="68">
        <v>720</v>
      </c>
      <c r="M489" s="71"/>
      <c r="N489" s="72">
        <v>5</v>
      </c>
      <c r="O489" s="84">
        <v>700</v>
      </c>
      <c r="P489" s="73">
        <v>0</v>
      </c>
      <c r="Q489" s="84">
        <v>0</v>
      </c>
      <c r="R489" s="74"/>
      <c r="S489" s="74"/>
      <c r="T489" s="75"/>
      <c r="U489" s="75"/>
      <c r="V489" s="76"/>
      <c r="W489" s="76">
        <v>0.9</v>
      </c>
      <c r="X489" s="77">
        <f>720+30*2+35</f>
        <v>815</v>
      </c>
      <c r="Y489" s="78"/>
      <c r="Z489" s="79"/>
      <c r="AA489" s="69"/>
      <c r="AB489" s="68">
        <v>34.380000000000003</v>
      </c>
      <c r="AC489" s="68">
        <v>180</v>
      </c>
      <c r="AD489" s="68"/>
      <c r="AE489" s="80"/>
      <c r="AF489" s="80"/>
      <c r="AG489" s="80"/>
      <c r="AH489" s="80"/>
      <c r="AI489" s="81" t="s">
        <v>212</v>
      </c>
      <c r="AJ489" s="81" t="s">
        <v>218</v>
      </c>
      <c r="AK489" s="81">
        <v>1961</v>
      </c>
      <c r="AL489" s="81" t="s">
        <v>219</v>
      </c>
      <c r="AM489" s="81" t="s">
        <v>258</v>
      </c>
    </row>
    <row r="490" spans="1:39" s="82" customFormat="1" x14ac:dyDescent="0.3">
      <c r="A490" s="67">
        <v>29</v>
      </c>
      <c r="B490" s="68">
        <v>29</v>
      </c>
      <c r="C490" s="68"/>
      <c r="D490" s="68">
        <v>3</v>
      </c>
      <c r="E490" s="68">
        <v>20</v>
      </c>
      <c r="F490" s="68">
        <v>0</v>
      </c>
      <c r="G490" s="69"/>
      <c r="H490" s="68"/>
      <c r="I490" s="69"/>
      <c r="J490" s="69"/>
      <c r="K490" s="70">
        <v>1</v>
      </c>
      <c r="L490" s="68">
        <v>720</v>
      </c>
      <c r="M490" s="71"/>
      <c r="N490" s="72">
        <v>5</v>
      </c>
      <c r="O490" s="84">
        <v>700</v>
      </c>
      <c r="P490" s="73">
        <v>0</v>
      </c>
      <c r="Q490" s="84">
        <v>0</v>
      </c>
      <c r="R490" s="74"/>
      <c r="S490" s="74"/>
      <c r="T490" s="75"/>
      <c r="U490" s="75"/>
      <c r="V490" s="76"/>
      <c r="W490" s="76">
        <v>0.97</v>
      </c>
      <c r="X490" s="77">
        <f>720+42+35</f>
        <v>797</v>
      </c>
      <c r="Y490" s="78"/>
      <c r="Z490" s="79"/>
      <c r="AA490" s="69"/>
      <c r="AB490" s="68"/>
      <c r="AC490" s="68"/>
      <c r="AD490" s="68"/>
      <c r="AE490" s="80"/>
      <c r="AF490" s="80"/>
      <c r="AG490" s="80"/>
      <c r="AH490" s="80"/>
      <c r="AI490" s="81" t="s">
        <v>215</v>
      </c>
      <c r="AJ490" s="81" t="s">
        <v>218</v>
      </c>
      <c r="AK490" s="81">
        <v>1961</v>
      </c>
      <c r="AL490" s="81" t="s">
        <v>219</v>
      </c>
      <c r="AM490" s="81"/>
    </row>
    <row r="491" spans="1:39" s="82" customFormat="1" x14ac:dyDescent="0.3">
      <c r="A491" s="67">
        <v>0</v>
      </c>
      <c r="B491" s="68">
        <v>56</v>
      </c>
      <c r="C491" s="68"/>
      <c r="D491" s="68">
        <v>3</v>
      </c>
      <c r="E491" s="68">
        <v>20</v>
      </c>
      <c r="F491" s="68">
        <v>0</v>
      </c>
      <c r="G491" s="69"/>
      <c r="H491" s="68"/>
      <c r="I491" s="69"/>
      <c r="J491" s="69"/>
      <c r="K491" s="70">
        <v>1</v>
      </c>
      <c r="L491" s="68">
        <v>720</v>
      </c>
      <c r="M491" s="71"/>
      <c r="N491" s="72">
        <v>5</v>
      </c>
      <c r="O491" s="84">
        <v>700</v>
      </c>
      <c r="P491" s="73">
        <v>0</v>
      </c>
      <c r="Q491" s="84">
        <v>0</v>
      </c>
      <c r="R491" s="74"/>
      <c r="S491" s="74"/>
      <c r="T491" s="75">
        <v>8.61</v>
      </c>
      <c r="U491" s="75">
        <v>6.38</v>
      </c>
      <c r="V491" s="76"/>
      <c r="W491" s="76">
        <f>55/56</f>
        <v>0.9821428571428571</v>
      </c>
      <c r="X491" s="77">
        <v>797</v>
      </c>
      <c r="Y491" s="78"/>
      <c r="Z491" s="79"/>
      <c r="AA491" s="69"/>
      <c r="AB491" s="68"/>
      <c r="AC491" s="68"/>
      <c r="AD491" s="68"/>
      <c r="AE491" s="80"/>
      <c r="AF491" s="80"/>
      <c r="AG491" s="80"/>
      <c r="AH491" s="80"/>
      <c r="AI491" s="81" t="s">
        <v>223</v>
      </c>
      <c r="AJ491" s="81" t="s">
        <v>218</v>
      </c>
      <c r="AK491" s="81">
        <v>1961</v>
      </c>
      <c r="AL491" s="81" t="s">
        <v>219</v>
      </c>
      <c r="AM491" s="81" t="s">
        <v>257</v>
      </c>
    </row>
    <row r="492" spans="1:39" s="82" customFormat="1" x14ac:dyDescent="0.3">
      <c r="A492" s="67">
        <v>27</v>
      </c>
      <c r="B492" s="68">
        <v>27</v>
      </c>
      <c r="C492" s="68"/>
      <c r="D492" s="68">
        <v>3</v>
      </c>
      <c r="E492" s="68">
        <v>20</v>
      </c>
      <c r="F492" s="68">
        <v>0</v>
      </c>
      <c r="G492" s="69"/>
      <c r="H492" s="68"/>
      <c r="I492" s="69"/>
      <c r="J492" s="69"/>
      <c r="K492" s="70">
        <v>1</v>
      </c>
      <c r="L492" s="68">
        <v>720</v>
      </c>
      <c r="M492" s="71"/>
      <c r="N492" s="72">
        <v>5</v>
      </c>
      <c r="O492" s="84">
        <v>700</v>
      </c>
      <c r="P492" s="73">
        <v>0</v>
      </c>
      <c r="Q492" s="84">
        <v>0</v>
      </c>
      <c r="R492" s="74"/>
      <c r="S492" s="74"/>
      <c r="T492" s="75"/>
      <c r="U492" s="75"/>
      <c r="V492" s="76"/>
      <c r="W492" s="76">
        <v>1</v>
      </c>
      <c r="X492" s="77">
        <f>720+42+35</f>
        <v>797</v>
      </c>
      <c r="Y492" s="78"/>
      <c r="Z492" s="79"/>
      <c r="AA492" s="69"/>
      <c r="AB492" s="68">
        <v>38.19</v>
      </c>
      <c r="AC492" s="68">
        <v>522</v>
      </c>
      <c r="AD492" s="68"/>
      <c r="AE492" s="80"/>
      <c r="AF492" s="80"/>
      <c r="AG492" s="80"/>
      <c r="AH492" s="80"/>
      <c r="AI492" s="81" t="s">
        <v>214</v>
      </c>
      <c r="AJ492" s="81" t="s">
        <v>218</v>
      </c>
      <c r="AK492" s="81">
        <v>1961</v>
      </c>
      <c r="AL492" s="81" t="s">
        <v>219</v>
      </c>
      <c r="AM492" s="81"/>
    </row>
    <row r="493" spans="1:39" s="82" customFormat="1" x14ac:dyDescent="0.3">
      <c r="A493" s="67">
        <v>25</v>
      </c>
      <c r="B493" s="68">
        <v>25</v>
      </c>
      <c r="C493" s="68"/>
      <c r="D493" s="68">
        <v>3</v>
      </c>
      <c r="E493" s="68">
        <v>20</v>
      </c>
      <c r="F493" s="68">
        <v>1</v>
      </c>
      <c r="G493" s="69">
        <v>6</v>
      </c>
      <c r="H493" s="68"/>
      <c r="I493" s="69"/>
      <c r="J493" s="69"/>
      <c r="K493" s="70">
        <v>1</v>
      </c>
      <c r="L493" s="68">
        <f>720+42</f>
        <v>762</v>
      </c>
      <c r="M493" s="71"/>
      <c r="N493" s="72">
        <v>6</v>
      </c>
      <c r="O493" s="84">
        <v>700</v>
      </c>
      <c r="P493" s="73">
        <v>0</v>
      </c>
      <c r="Q493" s="84">
        <v>0</v>
      </c>
      <c r="R493" s="74"/>
      <c r="S493" s="74"/>
      <c r="T493" s="75"/>
      <c r="U493" s="75"/>
      <c r="V493" s="76"/>
      <c r="W493" s="76">
        <v>0.98</v>
      </c>
      <c r="X493" s="77">
        <f>762+35</f>
        <v>797</v>
      </c>
      <c r="Y493" s="78"/>
      <c r="Z493" s="79"/>
      <c r="AA493" s="69"/>
      <c r="AB493" s="68"/>
      <c r="AC493" s="68"/>
      <c r="AD493" s="68"/>
      <c r="AE493" s="80"/>
      <c r="AF493" s="80"/>
      <c r="AG493" s="80"/>
      <c r="AH493" s="80"/>
      <c r="AI493" s="81" t="s">
        <v>217</v>
      </c>
      <c r="AJ493" s="81" t="s">
        <v>218</v>
      </c>
      <c r="AK493" s="81">
        <v>1961</v>
      </c>
      <c r="AL493" s="81" t="s">
        <v>219</v>
      </c>
      <c r="AM493" s="81" t="s">
        <v>221</v>
      </c>
    </row>
    <row r="494" spans="1:39" s="82" customFormat="1" x14ac:dyDescent="0.3">
      <c r="A494" s="67">
        <v>29</v>
      </c>
      <c r="B494" s="68">
        <v>29</v>
      </c>
      <c r="C494" s="68"/>
      <c r="D494" s="68">
        <v>3</v>
      </c>
      <c r="E494" s="68">
        <v>20</v>
      </c>
      <c r="F494" s="68">
        <v>1</v>
      </c>
      <c r="G494" s="69">
        <v>6</v>
      </c>
      <c r="H494" s="68"/>
      <c r="I494" s="69"/>
      <c r="J494" s="69"/>
      <c r="K494" s="70">
        <v>1</v>
      </c>
      <c r="L494" s="68">
        <f>720+42</f>
        <v>762</v>
      </c>
      <c r="M494" s="71"/>
      <c r="N494" s="72">
        <v>6</v>
      </c>
      <c r="O494" s="84">
        <v>700</v>
      </c>
      <c r="P494" s="73">
        <v>0</v>
      </c>
      <c r="Q494" s="84">
        <v>0</v>
      </c>
      <c r="R494" s="74"/>
      <c r="S494" s="74"/>
      <c r="T494" s="75"/>
      <c r="U494" s="75"/>
      <c r="V494" s="76"/>
      <c r="W494" s="76">
        <v>0.97</v>
      </c>
      <c r="X494" s="77">
        <f>762+35</f>
        <v>797</v>
      </c>
      <c r="Y494" s="78"/>
      <c r="Z494" s="79"/>
      <c r="AA494" s="69"/>
      <c r="AB494" s="68">
        <v>44.13</v>
      </c>
      <c r="AC494" s="68">
        <v>736</v>
      </c>
      <c r="AD494" s="68"/>
      <c r="AE494" s="80"/>
      <c r="AF494" s="80"/>
      <c r="AG494" s="80"/>
      <c r="AH494" s="80"/>
      <c r="AI494" s="81" t="s">
        <v>216</v>
      </c>
      <c r="AJ494" s="81" t="s">
        <v>218</v>
      </c>
      <c r="AK494" s="81">
        <v>1961</v>
      </c>
      <c r="AL494" s="81" t="s">
        <v>219</v>
      </c>
      <c r="AM494" s="81" t="s">
        <v>221</v>
      </c>
    </row>
    <row r="495" spans="1:39" s="82" customFormat="1" x14ac:dyDescent="0.3">
      <c r="A495" s="67">
        <v>33</v>
      </c>
      <c r="B495" s="68">
        <v>33</v>
      </c>
      <c r="C495" s="68"/>
      <c r="D495" s="68">
        <v>3</v>
      </c>
      <c r="E495" s="68">
        <v>2</v>
      </c>
      <c r="F495" s="68">
        <v>0</v>
      </c>
      <c r="G495" s="69"/>
      <c r="H495" s="68"/>
      <c r="I495" s="69"/>
      <c r="J495" s="69"/>
      <c r="K495" s="70">
        <v>2</v>
      </c>
      <c r="L495" s="68">
        <f>720+60</f>
        <v>780</v>
      </c>
      <c r="M495" s="71"/>
      <c r="N495" s="72">
        <v>5</v>
      </c>
      <c r="O495" s="84">
        <v>700</v>
      </c>
      <c r="P495" s="73">
        <v>0</v>
      </c>
      <c r="Q495" s="84">
        <v>0</v>
      </c>
      <c r="R495" s="74"/>
      <c r="S495" s="74"/>
      <c r="T495" s="75"/>
      <c r="U495" s="75"/>
      <c r="V495" s="76"/>
      <c r="W495" s="76"/>
      <c r="X495" s="77">
        <v>815</v>
      </c>
      <c r="Y495" s="78">
        <v>0.91</v>
      </c>
      <c r="Z495" s="79"/>
      <c r="AA495" s="69"/>
      <c r="AB495" s="68"/>
      <c r="AC495" s="68"/>
      <c r="AD495" s="68"/>
      <c r="AE495" s="80"/>
      <c r="AF495" s="80"/>
      <c r="AG495" s="80"/>
      <c r="AH495" s="80"/>
      <c r="AI495" s="81" t="s">
        <v>213</v>
      </c>
      <c r="AJ495" s="81" t="s">
        <v>218</v>
      </c>
      <c r="AK495" s="81">
        <v>1961</v>
      </c>
      <c r="AL495" s="81" t="s">
        <v>219</v>
      </c>
      <c r="AM495" s="81"/>
    </row>
    <row r="496" spans="1:39" s="82" customFormat="1" x14ac:dyDescent="0.3">
      <c r="A496" s="67">
        <v>0</v>
      </c>
      <c r="B496" s="68">
        <v>53</v>
      </c>
      <c r="C496" s="68"/>
      <c r="D496" s="68">
        <v>3</v>
      </c>
      <c r="E496" s="68">
        <v>2</v>
      </c>
      <c r="F496" s="68">
        <v>0</v>
      </c>
      <c r="G496" s="69"/>
      <c r="H496" s="68"/>
      <c r="I496" s="69"/>
      <c r="J496" s="69"/>
      <c r="K496" s="70">
        <v>2</v>
      </c>
      <c r="L496" s="68">
        <v>780</v>
      </c>
      <c r="M496" s="71"/>
      <c r="N496" s="72">
        <v>5</v>
      </c>
      <c r="O496" s="84">
        <v>700</v>
      </c>
      <c r="P496" s="73">
        <v>0</v>
      </c>
      <c r="Q496" s="84">
        <v>0</v>
      </c>
      <c r="R496" s="74"/>
      <c r="S496" s="74"/>
      <c r="T496" s="75">
        <v>8.98</v>
      </c>
      <c r="U496" s="75">
        <v>5.98</v>
      </c>
      <c r="V496" s="76"/>
      <c r="W496" s="76">
        <f>50/53</f>
        <v>0.94339622641509435</v>
      </c>
      <c r="X496" s="77">
        <v>815</v>
      </c>
      <c r="Y496" s="78">
        <v>0.94</v>
      </c>
      <c r="Z496" s="79"/>
      <c r="AA496" s="69"/>
      <c r="AB496" s="68"/>
      <c r="AC496" s="68"/>
      <c r="AD496" s="68"/>
      <c r="AE496" s="80"/>
      <c r="AF496" s="80"/>
      <c r="AG496" s="80"/>
      <c r="AH496" s="80"/>
      <c r="AI496" s="81" t="s">
        <v>222</v>
      </c>
      <c r="AJ496" s="81" t="s">
        <v>218</v>
      </c>
      <c r="AK496" s="81">
        <v>1961</v>
      </c>
      <c r="AL496" s="81" t="s">
        <v>219</v>
      </c>
      <c r="AM496" s="81" t="s">
        <v>257</v>
      </c>
    </row>
    <row r="497" spans="1:39" s="82" customFormat="1" x14ac:dyDescent="0.3">
      <c r="A497" s="67">
        <v>20</v>
      </c>
      <c r="B497" s="68">
        <v>20</v>
      </c>
      <c r="C497" s="68"/>
      <c r="D497" s="68">
        <v>3</v>
      </c>
      <c r="E497" s="68">
        <v>2</v>
      </c>
      <c r="F497" s="68">
        <v>0</v>
      </c>
      <c r="G497" s="69"/>
      <c r="H497" s="68"/>
      <c r="I497" s="69"/>
      <c r="J497" s="69"/>
      <c r="K497" s="70">
        <v>2</v>
      </c>
      <c r="L497" s="68">
        <f>720+60</f>
        <v>780</v>
      </c>
      <c r="M497" s="71"/>
      <c r="N497" s="72">
        <v>5</v>
      </c>
      <c r="O497" s="84">
        <v>700</v>
      </c>
      <c r="P497" s="73">
        <v>0</v>
      </c>
      <c r="Q497" s="84">
        <v>0</v>
      </c>
      <c r="R497" s="74"/>
      <c r="S497" s="74"/>
      <c r="T497" s="75"/>
      <c r="U497" s="75"/>
      <c r="V497" s="76"/>
      <c r="W497" s="76"/>
      <c r="X497" s="77">
        <v>815</v>
      </c>
      <c r="Y497" s="78">
        <v>1</v>
      </c>
      <c r="Z497" s="79"/>
      <c r="AA497" s="69"/>
      <c r="AB497" s="68">
        <v>36</v>
      </c>
      <c r="AC497" s="68">
        <v>163</v>
      </c>
      <c r="AD497" s="68"/>
      <c r="AE497" s="80"/>
      <c r="AF497" s="80"/>
      <c r="AG497" s="80"/>
      <c r="AH497" s="80"/>
      <c r="AI497" s="81" t="s">
        <v>212</v>
      </c>
      <c r="AJ497" s="81" t="s">
        <v>218</v>
      </c>
      <c r="AK497" s="81">
        <v>1961</v>
      </c>
      <c r="AL497" s="81" t="s">
        <v>219</v>
      </c>
      <c r="AM497" s="81" t="s">
        <v>220</v>
      </c>
    </row>
    <row r="498" spans="1:39" s="82" customFormat="1" x14ac:dyDescent="0.3">
      <c r="A498" s="67">
        <v>25</v>
      </c>
      <c r="B498" s="68">
        <v>25</v>
      </c>
      <c r="C498" s="68"/>
      <c r="D498" s="68">
        <v>3</v>
      </c>
      <c r="E498" s="68">
        <v>2</v>
      </c>
      <c r="F498" s="68">
        <v>0</v>
      </c>
      <c r="G498" s="69"/>
      <c r="H498" s="68"/>
      <c r="I498" s="69"/>
      <c r="J498" s="69"/>
      <c r="K498" s="70">
        <v>2</v>
      </c>
      <c r="L498" s="68">
        <f>720+42</f>
        <v>762</v>
      </c>
      <c r="M498" s="71"/>
      <c r="N498" s="72">
        <v>5</v>
      </c>
      <c r="O498" s="84">
        <v>700</v>
      </c>
      <c r="P498" s="73">
        <v>0</v>
      </c>
      <c r="Q498" s="84">
        <v>0</v>
      </c>
      <c r="R498" s="74"/>
      <c r="S498" s="74"/>
      <c r="T498" s="75"/>
      <c r="U498" s="75"/>
      <c r="V498" s="76"/>
      <c r="W498" s="76"/>
      <c r="X498" s="77">
        <v>797</v>
      </c>
      <c r="Y498" s="78">
        <v>1</v>
      </c>
      <c r="Z498" s="79"/>
      <c r="AA498" s="69"/>
      <c r="AB498" s="68"/>
      <c r="AC498" s="68"/>
      <c r="AD498" s="68"/>
      <c r="AE498" s="80"/>
      <c r="AF498" s="80"/>
      <c r="AG498" s="80"/>
      <c r="AH498" s="80"/>
      <c r="AI498" s="81" t="s">
        <v>215</v>
      </c>
      <c r="AJ498" s="81" t="s">
        <v>218</v>
      </c>
      <c r="AK498" s="81">
        <v>1961</v>
      </c>
      <c r="AL498" s="81" t="s">
        <v>219</v>
      </c>
      <c r="AM498" s="81"/>
    </row>
    <row r="499" spans="1:39" s="82" customFormat="1" x14ac:dyDescent="0.3">
      <c r="A499" s="67">
        <v>27</v>
      </c>
      <c r="B499" s="68">
        <v>27</v>
      </c>
      <c r="C499" s="68"/>
      <c r="D499" s="68">
        <v>3</v>
      </c>
      <c r="E499" s="68">
        <v>2</v>
      </c>
      <c r="F499" s="68">
        <v>0</v>
      </c>
      <c r="G499" s="69"/>
      <c r="H499" s="68"/>
      <c r="I499" s="69"/>
      <c r="J499" s="69"/>
      <c r="K499" s="70">
        <v>2</v>
      </c>
      <c r="L499" s="68">
        <f>720+42</f>
        <v>762</v>
      </c>
      <c r="M499" s="71"/>
      <c r="N499" s="72">
        <v>5</v>
      </c>
      <c r="O499" s="84">
        <v>700</v>
      </c>
      <c r="P499" s="73">
        <v>0</v>
      </c>
      <c r="Q499" s="84">
        <v>0</v>
      </c>
      <c r="R499" s="74"/>
      <c r="S499" s="74"/>
      <c r="T499" s="75"/>
      <c r="U499" s="75"/>
      <c r="V499" s="76"/>
      <c r="W499" s="76"/>
      <c r="X499" s="77">
        <v>797</v>
      </c>
      <c r="Y499" s="78">
        <v>0.96</v>
      </c>
      <c r="Z499" s="79"/>
      <c r="AA499" s="69"/>
      <c r="AB499" s="68">
        <v>27.89</v>
      </c>
      <c r="AC499" s="68">
        <v>130</v>
      </c>
      <c r="AD499" s="68"/>
      <c r="AE499" s="80"/>
      <c r="AF499" s="80"/>
      <c r="AG499" s="80"/>
      <c r="AH499" s="80"/>
      <c r="AI499" s="81" t="s">
        <v>214</v>
      </c>
      <c r="AJ499" s="81" t="s">
        <v>218</v>
      </c>
      <c r="AK499" s="81">
        <v>1961</v>
      </c>
      <c r="AL499" s="81" t="s">
        <v>219</v>
      </c>
      <c r="AM499" s="81"/>
    </row>
    <row r="500" spans="1:39" s="82" customFormat="1" x14ac:dyDescent="0.3">
      <c r="A500" s="67">
        <v>29</v>
      </c>
      <c r="B500" s="68">
        <v>29</v>
      </c>
      <c r="C500" s="68"/>
      <c r="D500" s="68">
        <v>3</v>
      </c>
      <c r="E500" s="68">
        <v>2</v>
      </c>
      <c r="F500" s="68">
        <v>1</v>
      </c>
      <c r="G500" s="69">
        <v>5</v>
      </c>
      <c r="H500" s="68"/>
      <c r="I500" s="69"/>
      <c r="J500" s="69"/>
      <c r="K500" s="70">
        <v>2</v>
      </c>
      <c r="L500" s="68">
        <f>720+42</f>
        <v>762</v>
      </c>
      <c r="M500" s="71"/>
      <c r="N500" s="72">
        <v>6</v>
      </c>
      <c r="O500" s="84">
        <v>700</v>
      </c>
      <c r="P500" s="73">
        <v>0</v>
      </c>
      <c r="Q500" s="84">
        <v>0</v>
      </c>
      <c r="R500" s="74"/>
      <c r="S500" s="74"/>
      <c r="T500" s="75"/>
      <c r="U500" s="75"/>
      <c r="V500" s="76"/>
      <c r="W500" s="76"/>
      <c r="X500" s="77">
        <v>797</v>
      </c>
      <c r="Y500" s="78">
        <v>1</v>
      </c>
      <c r="Z500" s="79"/>
      <c r="AA500" s="69"/>
      <c r="AB500" s="68"/>
      <c r="AC500" s="68"/>
      <c r="AD500" s="68"/>
      <c r="AE500" s="80"/>
      <c r="AF500" s="80"/>
      <c r="AG500" s="80"/>
      <c r="AH500" s="80"/>
      <c r="AI500" s="81" t="s">
        <v>217</v>
      </c>
      <c r="AJ500" s="81" t="s">
        <v>218</v>
      </c>
      <c r="AK500" s="81">
        <v>1961</v>
      </c>
      <c r="AL500" s="81" t="s">
        <v>219</v>
      </c>
      <c r="AM500" s="81" t="s">
        <v>221</v>
      </c>
    </row>
    <row r="501" spans="1:39" s="82" customFormat="1" x14ac:dyDescent="0.3">
      <c r="A501" s="67">
        <v>29</v>
      </c>
      <c r="B501" s="68">
        <v>29</v>
      </c>
      <c r="C501" s="68"/>
      <c r="D501" s="68">
        <v>3</v>
      </c>
      <c r="E501" s="68">
        <v>2</v>
      </c>
      <c r="F501" s="68">
        <v>1</v>
      </c>
      <c r="G501" s="69">
        <v>5</v>
      </c>
      <c r="H501" s="68"/>
      <c r="I501" s="69"/>
      <c r="J501" s="69"/>
      <c r="K501" s="70">
        <v>2</v>
      </c>
      <c r="L501" s="68">
        <f>720+42</f>
        <v>762</v>
      </c>
      <c r="M501" s="71"/>
      <c r="N501" s="72">
        <v>6</v>
      </c>
      <c r="O501" s="84">
        <v>700</v>
      </c>
      <c r="P501" s="73">
        <v>0</v>
      </c>
      <c r="Q501" s="84">
        <v>0</v>
      </c>
      <c r="R501" s="74"/>
      <c r="S501" s="74"/>
      <c r="T501" s="75"/>
      <c r="U501" s="75"/>
      <c r="V501" s="76"/>
      <c r="W501" s="76"/>
      <c r="X501" s="77">
        <v>797</v>
      </c>
      <c r="Y501" s="78">
        <v>1</v>
      </c>
      <c r="Z501" s="79"/>
      <c r="AA501" s="69"/>
      <c r="AB501" s="68">
        <v>34.58</v>
      </c>
      <c r="AC501" s="68">
        <v>323</v>
      </c>
      <c r="AD501" s="68"/>
      <c r="AE501" s="80"/>
      <c r="AF501" s="80"/>
      <c r="AG501" s="80"/>
      <c r="AH501" s="80"/>
      <c r="AI501" s="81" t="s">
        <v>216</v>
      </c>
      <c r="AJ501" s="81" t="s">
        <v>218</v>
      </c>
      <c r="AK501" s="81">
        <v>1961</v>
      </c>
      <c r="AL501" s="81" t="s">
        <v>219</v>
      </c>
      <c r="AM501" s="81" t="s">
        <v>221</v>
      </c>
    </row>
    <row r="502" spans="1:39" s="82" customFormat="1" x14ac:dyDescent="0.3">
      <c r="A502" s="67">
        <v>56</v>
      </c>
      <c r="B502" s="68">
        <v>56</v>
      </c>
      <c r="C502" s="68"/>
      <c r="D502" s="68">
        <v>3</v>
      </c>
      <c r="E502" s="68">
        <v>4</v>
      </c>
      <c r="F502" s="68">
        <v>0</v>
      </c>
      <c r="G502" s="69"/>
      <c r="H502" s="68"/>
      <c r="I502" s="69"/>
      <c r="J502" s="69"/>
      <c r="K502" s="70">
        <v>3</v>
      </c>
      <c r="L502" s="68">
        <f>720+30</f>
        <v>750</v>
      </c>
      <c r="M502" s="71"/>
      <c r="N502" s="72">
        <v>5</v>
      </c>
      <c r="O502" s="84">
        <v>700</v>
      </c>
      <c r="P502" s="73">
        <v>0</v>
      </c>
      <c r="Q502" s="84">
        <v>0</v>
      </c>
      <c r="R502" s="74"/>
      <c r="S502" s="74"/>
      <c r="T502" s="75"/>
      <c r="U502" s="75"/>
      <c r="V502" s="76"/>
      <c r="W502" s="76"/>
      <c r="X502" s="77">
        <v>815</v>
      </c>
      <c r="Y502" s="78">
        <v>0.84</v>
      </c>
      <c r="Z502" s="79"/>
      <c r="AA502" s="69"/>
      <c r="AB502" s="68"/>
      <c r="AC502" s="68"/>
      <c r="AD502" s="68"/>
      <c r="AE502" s="80"/>
      <c r="AF502" s="80"/>
      <c r="AG502" s="80"/>
      <c r="AH502" s="80"/>
      <c r="AI502" s="81" t="s">
        <v>213</v>
      </c>
      <c r="AJ502" s="81" t="s">
        <v>218</v>
      </c>
      <c r="AK502" s="81">
        <v>1961</v>
      </c>
      <c r="AL502" s="81" t="s">
        <v>219</v>
      </c>
      <c r="AM502" s="81"/>
    </row>
    <row r="503" spans="1:39" s="82" customFormat="1" x14ac:dyDescent="0.3">
      <c r="A503" s="67">
        <v>0</v>
      </c>
      <c r="B503" s="68">
        <v>76</v>
      </c>
      <c r="C503" s="68"/>
      <c r="D503" s="68">
        <v>3</v>
      </c>
      <c r="E503" s="68">
        <v>4</v>
      </c>
      <c r="F503" s="68">
        <v>0</v>
      </c>
      <c r="G503" s="69"/>
      <c r="H503" s="68"/>
      <c r="I503" s="69"/>
      <c r="J503" s="69"/>
      <c r="K503" s="70">
        <v>3</v>
      </c>
      <c r="L503" s="68">
        <v>750</v>
      </c>
      <c r="M503" s="71"/>
      <c r="N503" s="72">
        <v>5</v>
      </c>
      <c r="O503" s="84">
        <v>700</v>
      </c>
      <c r="P503" s="73">
        <v>0</v>
      </c>
      <c r="Q503" s="84">
        <v>0</v>
      </c>
      <c r="R503" s="74"/>
      <c r="S503" s="74"/>
      <c r="T503" s="75">
        <v>6.84</v>
      </c>
      <c r="U503" s="75">
        <v>12.16</v>
      </c>
      <c r="V503" s="76"/>
      <c r="W503" s="76">
        <f>64/76</f>
        <v>0.84210526315789469</v>
      </c>
      <c r="X503" s="77">
        <v>815</v>
      </c>
      <c r="Y503" s="78">
        <v>0.84</v>
      </c>
      <c r="Z503" s="79"/>
      <c r="AA503" s="69"/>
      <c r="AB503" s="68"/>
      <c r="AC503" s="68"/>
      <c r="AD503" s="68"/>
      <c r="AE503" s="80"/>
      <c r="AF503" s="80"/>
      <c r="AG503" s="80"/>
      <c r="AH503" s="80"/>
      <c r="AI503" s="81" t="s">
        <v>222</v>
      </c>
      <c r="AJ503" s="81" t="s">
        <v>218</v>
      </c>
      <c r="AK503" s="81">
        <v>1961</v>
      </c>
      <c r="AL503" s="81" t="s">
        <v>219</v>
      </c>
      <c r="AM503" s="81" t="s">
        <v>257</v>
      </c>
    </row>
    <row r="504" spans="1:39" s="82" customFormat="1" x14ac:dyDescent="0.3">
      <c r="A504" s="67">
        <v>20</v>
      </c>
      <c r="B504" s="68">
        <v>20</v>
      </c>
      <c r="C504" s="68"/>
      <c r="D504" s="68">
        <v>3</v>
      </c>
      <c r="E504" s="68">
        <v>4</v>
      </c>
      <c r="F504" s="68">
        <v>0</v>
      </c>
      <c r="G504" s="69"/>
      <c r="H504" s="68"/>
      <c r="I504" s="69"/>
      <c r="J504" s="69"/>
      <c r="K504" s="70">
        <v>3</v>
      </c>
      <c r="L504" s="68">
        <f>720+30</f>
        <v>750</v>
      </c>
      <c r="M504" s="71"/>
      <c r="N504" s="72">
        <v>5</v>
      </c>
      <c r="O504" s="84">
        <v>700</v>
      </c>
      <c r="P504" s="73">
        <v>0</v>
      </c>
      <c r="Q504" s="84">
        <v>0</v>
      </c>
      <c r="R504" s="74"/>
      <c r="S504" s="74"/>
      <c r="T504" s="75"/>
      <c r="U504" s="75"/>
      <c r="V504" s="76"/>
      <c r="W504" s="76"/>
      <c r="X504" s="77">
        <v>815</v>
      </c>
      <c r="Y504" s="78">
        <v>0.85</v>
      </c>
      <c r="Z504" s="79"/>
      <c r="AA504" s="69"/>
      <c r="AB504" s="68">
        <v>38.47</v>
      </c>
      <c r="AC504" s="68">
        <v>75</v>
      </c>
      <c r="AD504" s="68"/>
      <c r="AE504" s="80"/>
      <c r="AF504" s="80"/>
      <c r="AG504" s="80"/>
      <c r="AH504" s="80"/>
      <c r="AI504" s="81" t="s">
        <v>212</v>
      </c>
      <c r="AJ504" s="81" t="s">
        <v>218</v>
      </c>
      <c r="AK504" s="81">
        <v>1961</v>
      </c>
      <c r="AL504" s="81" t="s">
        <v>219</v>
      </c>
      <c r="AM504" s="81" t="s">
        <v>220</v>
      </c>
    </row>
    <row r="505" spans="1:39" s="82" customFormat="1" x14ac:dyDescent="0.3">
      <c r="A505" s="67">
        <v>43</v>
      </c>
      <c r="B505" s="68">
        <v>43</v>
      </c>
      <c r="C505" s="68"/>
      <c r="D505" s="68">
        <v>3</v>
      </c>
      <c r="E505" s="68">
        <v>4</v>
      </c>
      <c r="F505" s="68">
        <v>0</v>
      </c>
      <c r="G505" s="69"/>
      <c r="H505" s="68"/>
      <c r="I505" s="69"/>
      <c r="J505" s="69"/>
      <c r="K505" s="70">
        <v>3</v>
      </c>
      <c r="L505" s="68">
        <v>762</v>
      </c>
      <c r="M505" s="71"/>
      <c r="N505" s="72">
        <v>5</v>
      </c>
      <c r="O505" s="84">
        <v>700</v>
      </c>
      <c r="P505" s="73">
        <v>0</v>
      </c>
      <c r="Q505" s="84">
        <v>0</v>
      </c>
      <c r="R505" s="74"/>
      <c r="S505" s="74"/>
      <c r="T505" s="75"/>
      <c r="U505" s="75"/>
      <c r="V505" s="76"/>
      <c r="W505" s="76"/>
      <c r="X505" s="77">
        <v>797</v>
      </c>
      <c r="Y505" s="78">
        <v>0.81</v>
      </c>
      <c r="Z505" s="79"/>
      <c r="AA505" s="69"/>
      <c r="AB505" s="68"/>
      <c r="AC505" s="68"/>
      <c r="AD505" s="68"/>
      <c r="AE505" s="80"/>
      <c r="AF505" s="80"/>
      <c r="AG505" s="80"/>
      <c r="AH505" s="80"/>
      <c r="AI505" s="81" t="s">
        <v>215</v>
      </c>
      <c r="AJ505" s="81" t="s">
        <v>218</v>
      </c>
      <c r="AK505" s="81">
        <v>1961</v>
      </c>
      <c r="AL505" s="81" t="s">
        <v>219</v>
      </c>
      <c r="AM505" s="81"/>
    </row>
    <row r="506" spans="1:39" s="82" customFormat="1" x14ac:dyDescent="0.3">
      <c r="A506" s="67">
        <v>27</v>
      </c>
      <c r="B506" s="68">
        <v>27</v>
      </c>
      <c r="C506" s="68"/>
      <c r="D506" s="68">
        <v>3</v>
      </c>
      <c r="E506" s="68">
        <v>4</v>
      </c>
      <c r="F506" s="68">
        <v>0</v>
      </c>
      <c r="G506" s="69"/>
      <c r="H506" s="68"/>
      <c r="I506" s="69"/>
      <c r="J506" s="69"/>
      <c r="K506" s="70">
        <v>3</v>
      </c>
      <c r="L506" s="68">
        <v>762</v>
      </c>
      <c r="M506" s="71"/>
      <c r="N506" s="72">
        <v>5</v>
      </c>
      <c r="O506" s="84">
        <v>700</v>
      </c>
      <c r="P506" s="73">
        <v>0</v>
      </c>
      <c r="Q506" s="84">
        <v>0</v>
      </c>
      <c r="R506" s="74"/>
      <c r="S506" s="74"/>
      <c r="T506" s="75"/>
      <c r="U506" s="75"/>
      <c r="V506" s="76"/>
      <c r="W506" s="76"/>
      <c r="X506" s="77">
        <v>797</v>
      </c>
      <c r="Y506" s="78">
        <v>0.87</v>
      </c>
      <c r="Z506" s="79"/>
      <c r="AA506" s="69"/>
      <c r="AB506" s="68">
        <v>36.630000000000003</v>
      </c>
      <c r="AC506" s="68">
        <v>151</v>
      </c>
      <c r="AD506" s="68"/>
      <c r="AE506" s="80"/>
      <c r="AF506" s="80"/>
      <c r="AG506" s="80"/>
      <c r="AH506" s="80"/>
      <c r="AI506" s="81" t="s">
        <v>214</v>
      </c>
      <c r="AJ506" s="81" t="s">
        <v>218</v>
      </c>
      <c r="AK506" s="81">
        <v>1961</v>
      </c>
      <c r="AL506" s="81" t="s">
        <v>219</v>
      </c>
      <c r="AM506" s="81"/>
    </row>
    <row r="507" spans="1:39" s="82" customFormat="1" x14ac:dyDescent="0.3">
      <c r="A507" s="67">
        <v>40</v>
      </c>
      <c r="B507" s="68">
        <v>40</v>
      </c>
      <c r="C507" s="68"/>
      <c r="D507" s="68">
        <v>3</v>
      </c>
      <c r="E507" s="68">
        <v>4</v>
      </c>
      <c r="F507" s="68">
        <v>1</v>
      </c>
      <c r="G507" s="69">
        <v>5.5</v>
      </c>
      <c r="H507" s="68"/>
      <c r="I507" s="69"/>
      <c r="J507" s="69"/>
      <c r="K507" s="70">
        <v>3</v>
      </c>
      <c r="L507" s="68">
        <f>720+42</f>
        <v>762</v>
      </c>
      <c r="M507" s="71"/>
      <c r="N507" s="72">
        <v>6</v>
      </c>
      <c r="O507" s="84">
        <v>700</v>
      </c>
      <c r="P507" s="73">
        <v>0</v>
      </c>
      <c r="Q507" s="84">
        <v>0</v>
      </c>
      <c r="R507" s="74"/>
      <c r="S507" s="74"/>
      <c r="T507" s="75"/>
      <c r="U507" s="75"/>
      <c r="V507" s="76"/>
      <c r="W507" s="76"/>
      <c r="X507" s="77">
        <v>797</v>
      </c>
      <c r="Y507" s="78">
        <v>0.83</v>
      </c>
      <c r="Z507" s="79"/>
      <c r="AA507" s="69"/>
      <c r="AB507" s="68"/>
      <c r="AC507" s="68"/>
      <c r="AD507" s="68"/>
      <c r="AE507" s="80"/>
      <c r="AF507" s="80"/>
      <c r="AG507" s="80"/>
      <c r="AH507" s="80"/>
      <c r="AI507" s="81" t="s">
        <v>217</v>
      </c>
      <c r="AJ507" s="81" t="s">
        <v>218</v>
      </c>
      <c r="AK507" s="81">
        <v>1961</v>
      </c>
      <c r="AL507" s="81" t="s">
        <v>219</v>
      </c>
      <c r="AM507" s="81" t="s">
        <v>221</v>
      </c>
    </row>
    <row r="508" spans="1:39" s="82" customFormat="1" x14ac:dyDescent="0.3">
      <c r="A508" s="67">
        <v>29</v>
      </c>
      <c r="B508" s="68">
        <v>29</v>
      </c>
      <c r="C508" s="68"/>
      <c r="D508" s="68">
        <v>3</v>
      </c>
      <c r="E508" s="68">
        <v>4</v>
      </c>
      <c r="F508" s="68">
        <v>1</v>
      </c>
      <c r="G508" s="69">
        <v>5.5</v>
      </c>
      <c r="H508" s="68"/>
      <c r="I508" s="69"/>
      <c r="J508" s="69"/>
      <c r="K508" s="70">
        <v>3</v>
      </c>
      <c r="L508" s="68">
        <f>720+42</f>
        <v>762</v>
      </c>
      <c r="M508" s="71"/>
      <c r="N508" s="72">
        <v>6</v>
      </c>
      <c r="O508" s="84">
        <v>700</v>
      </c>
      <c r="P508" s="73">
        <v>0</v>
      </c>
      <c r="Q508" s="84">
        <v>0</v>
      </c>
      <c r="R508" s="74"/>
      <c r="S508" s="74"/>
      <c r="T508" s="75"/>
      <c r="U508" s="75"/>
      <c r="V508" s="76"/>
      <c r="W508" s="76"/>
      <c r="X508" s="77">
        <v>797</v>
      </c>
      <c r="Y508" s="78">
        <v>0.97</v>
      </c>
      <c r="Z508" s="79"/>
      <c r="AA508" s="69"/>
      <c r="AB508" s="68">
        <v>63.67</v>
      </c>
      <c r="AC508" s="68">
        <v>505</v>
      </c>
      <c r="AD508" s="68"/>
      <c r="AE508" s="80"/>
      <c r="AF508" s="80"/>
      <c r="AG508" s="80"/>
      <c r="AH508" s="80"/>
      <c r="AI508" s="81" t="s">
        <v>216</v>
      </c>
      <c r="AJ508" s="81" t="s">
        <v>218</v>
      </c>
      <c r="AK508" s="81">
        <v>1961</v>
      </c>
      <c r="AL508" s="81" t="s">
        <v>219</v>
      </c>
      <c r="AM508" s="81" t="s">
        <v>221</v>
      </c>
    </row>
    <row r="509" spans="1:39" s="82" customFormat="1" x14ac:dyDescent="0.3">
      <c r="A509" s="67">
        <v>62</v>
      </c>
      <c r="B509" s="68"/>
      <c r="C509" s="68"/>
      <c r="D509" s="68">
        <v>0</v>
      </c>
      <c r="E509" s="68"/>
      <c r="F509" s="68">
        <v>0</v>
      </c>
      <c r="G509" s="69"/>
      <c r="H509" s="68"/>
      <c r="I509" s="69"/>
      <c r="J509" s="69"/>
      <c r="K509" s="70">
        <v>1</v>
      </c>
      <c r="L509" s="68">
        <v>60</v>
      </c>
      <c r="M509" s="71">
        <v>40</v>
      </c>
      <c r="N509" s="72"/>
      <c r="O509" s="84">
        <v>60</v>
      </c>
      <c r="P509" s="73"/>
      <c r="Q509" s="84"/>
      <c r="R509" s="74"/>
      <c r="S509" s="74"/>
      <c r="T509" s="75">
        <v>4.2479275134435852</v>
      </c>
      <c r="U509" s="75"/>
      <c r="V509" s="76"/>
      <c r="W509" s="76"/>
      <c r="X509" s="77">
        <v>90</v>
      </c>
      <c r="Y509" s="78"/>
      <c r="Z509" s="79"/>
      <c r="AA509" s="69"/>
      <c r="AB509" s="68"/>
      <c r="AC509" s="68"/>
      <c r="AD509" s="68"/>
      <c r="AE509" s="80"/>
      <c r="AF509" s="80"/>
      <c r="AG509" s="80"/>
      <c r="AH509" s="80"/>
      <c r="AI509" s="81" t="s">
        <v>50</v>
      </c>
      <c r="AJ509" s="81" t="s">
        <v>34</v>
      </c>
      <c r="AK509" s="81">
        <v>1997</v>
      </c>
      <c r="AL509" s="81" t="s">
        <v>35</v>
      </c>
      <c r="AM509" s="81" t="s">
        <v>304</v>
      </c>
    </row>
    <row r="510" spans="1:39" s="82" customFormat="1" x14ac:dyDescent="0.3">
      <c r="A510" s="67">
        <v>56</v>
      </c>
      <c r="B510" s="68"/>
      <c r="C510" s="68"/>
      <c r="D510" s="68">
        <v>1</v>
      </c>
      <c r="E510" s="68">
        <v>40</v>
      </c>
      <c r="F510" s="68">
        <v>0</v>
      </c>
      <c r="G510" s="69"/>
      <c r="H510" s="68"/>
      <c r="I510" s="69"/>
      <c r="J510" s="69"/>
      <c r="K510" s="70">
        <v>1</v>
      </c>
      <c r="L510" s="68">
        <v>90</v>
      </c>
      <c r="M510" s="71">
        <v>40</v>
      </c>
      <c r="N510" s="72"/>
      <c r="O510" s="84">
        <v>90</v>
      </c>
      <c r="P510" s="73"/>
      <c r="Q510" s="84"/>
      <c r="R510" s="74">
        <v>4.2479275134435852</v>
      </c>
      <c r="S510" s="74"/>
      <c r="T510" s="75">
        <v>5.6147098441152083</v>
      </c>
      <c r="U510" s="75"/>
      <c r="V510" s="76"/>
      <c r="W510" s="76"/>
      <c r="X510" s="77">
        <v>120</v>
      </c>
      <c r="Y510" s="78"/>
      <c r="Z510" s="79"/>
      <c r="AA510" s="69"/>
      <c r="AB510" s="68"/>
      <c r="AC510" s="68"/>
      <c r="AD510" s="68"/>
      <c r="AE510" s="80"/>
      <c r="AF510" s="80"/>
      <c r="AG510" s="80"/>
      <c r="AH510" s="80"/>
      <c r="AI510" s="81" t="s">
        <v>50</v>
      </c>
      <c r="AJ510" s="81" t="s">
        <v>34</v>
      </c>
      <c r="AK510" s="81">
        <v>1997</v>
      </c>
      <c r="AL510" s="81" t="s">
        <v>35</v>
      </c>
      <c r="AM510" s="81" t="s">
        <v>304</v>
      </c>
    </row>
    <row r="511" spans="1:39" s="82" customFormat="1" x14ac:dyDescent="0.3">
      <c r="A511" s="67">
        <v>51</v>
      </c>
      <c r="B511" s="68"/>
      <c r="C511" s="68"/>
      <c r="D511" s="68">
        <v>2</v>
      </c>
      <c r="E511" s="68">
        <v>40</v>
      </c>
      <c r="F511" s="68">
        <v>0</v>
      </c>
      <c r="G511" s="69"/>
      <c r="H511" s="68"/>
      <c r="I511" s="69"/>
      <c r="J511" s="69"/>
      <c r="K511" s="70">
        <v>1</v>
      </c>
      <c r="L511" s="68">
        <v>120</v>
      </c>
      <c r="M511" s="71">
        <v>40</v>
      </c>
      <c r="N511" s="72">
        <v>6</v>
      </c>
      <c r="O511" s="84">
        <v>120</v>
      </c>
      <c r="P511" s="73"/>
      <c r="Q511" s="84"/>
      <c r="R511" s="74">
        <v>5.6147098441152083</v>
      </c>
      <c r="S511" s="74"/>
      <c r="T511" s="75">
        <v>7.266786540694901</v>
      </c>
      <c r="U511" s="75"/>
      <c r="V511" s="76"/>
      <c r="W511" s="76"/>
      <c r="X511" s="77">
        <v>165</v>
      </c>
      <c r="Y511" s="78"/>
      <c r="Z511" s="79"/>
      <c r="AA511" s="69"/>
      <c r="AB511" s="68"/>
      <c r="AC511" s="68"/>
      <c r="AD511" s="68"/>
      <c r="AE511" s="80"/>
      <c r="AF511" s="80"/>
      <c r="AG511" s="80"/>
      <c r="AH511" s="80"/>
      <c r="AI511" s="81" t="s">
        <v>50</v>
      </c>
      <c r="AJ511" s="81" t="s">
        <v>34</v>
      </c>
      <c r="AK511" s="81">
        <v>1997</v>
      </c>
      <c r="AL511" s="81" t="s">
        <v>35</v>
      </c>
      <c r="AM511" s="81" t="s">
        <v>304</v>
      </c>
    </row>
    <row r="512" spans="1:39" s="82" customFormat="1" x14ac:dyDescent="0.3">
      <c r="A512" s="67">
        <v>0</v>
      </c>
      <c r="B512" s="68">
        <v>78</v>
      </c>
      <c r="C512" s="68"/>
      <c r="D512" s="68">
        <v>2</v>
      </c>
      <c r="E512" s="68">
        <v>40</v>
      </c>
      <c r="F512" s="68">
        <v>0</v>
      </c>
      <c r="G512" s="69"/>
      <c r="H512" s="68"/>
      <c r="I512" s="69"/>
      <c r="J512" s="69"/>
      <c r="K512" s="70">
        <v>1</v>
      </c>
      <c r="L512" s="68">
        <v>120</v>
      </c>
      <c r="M512" s="71">
        <v>40</v>
      </c>
      <c r="N512" s="72">
        <v>6</v>
      </c>
      <c r="O512" s="84"/>
      <c r="P512" s="73"/>
      <c r="Q512" s="84"/>
      <c r="R512" s="74"/>
      <c r="S512" s="74"/>
      <c r="T512" s="75"/>
      <c r="U512" s="75"/>
      <c r="V512" s="76"/>
      <c r="W512" s="76"/>
      <c r="X512" s="77"/>
      <c r="Y512" s="78">
        <f>62/78</f>
        <v>0.79487179487179482</v>
      </c>
      <c r="Z512" s="79"/>
      <c r="AA512" s="69"/>
      <c r="AB512" s="68">
        <v>23.6</v>
      </c>
      <c r="AC512" s="68">
        <v>464</v>
      </c>
      <c r="AD512" s="68"/>
      <c r="AE512" s="80"/>
      <c r="AF512" s="80"/>
      <c r="AG512" s="80"/>
      <c r="AH512" s="80"/>
      <c r="AI512" s="81" t="s">
        <v>51</v>
      </c>
      <c r="AJ512" s="81" t="s">
        <v>34</v>
      </c>
      <c r="AK512" s="81">
        <v>1997</v>
      </c>
      <c r="AL512" s="81" t="s">
        <v>35</v>
      </c>
      <c r="AM512" s="81" t="s">
        <v>304</v>
      </c>
    </row>
    <row r="513" spans="1:39" s="82" customFormat="1" x14ac:dyDescent="0.3">
      <c r="A513" s="67">
        <v>0</v>
      </c>
      <c r="B513" s="68">
        <v>67</v>
      </c>
      <c r="C513" s="68"/>
      <c r="D513" s="68">
        <v>0</v>
      </c>
      <c r="E513" s="68"/>
      <c r="F513" s="68">
        <v>0</v>
      </c>
      <c r="G513" s="69"/>
      <c r="H513" s="68"/>
      <c r="I513" s="69"/>
      <c r="J513" s="69"/>
      <c r="K513" s="70">
        <v>1</v>
      </c>
      <c r="L513" s="68">
        <v>60</v>
      </c>
      <c r="M513" s="71"/>
      <c r="N513" s="72">
        <v>6</v>
      </c>
      <c r="O513" s="84"/>
      <c r="P513" s="73"/>
      <c r="Q513" s="84"/>
      <c r="R513" s="74"/>
      <c r="S513" s="74"/>
      <c r="T513" s="75"/>
      <c r="U513" s="75"/>
      <c r="V513" s="76"/>
      <c r="W513" s="76"/>
      <c r="X513" s="77"/>
      <c r="Y513" s="78">
        <v>0.99</v>
      </c>
      <c r="Z513" s="79"/>
      <c r="AA513" s="69"/>
      <c r="AB513" s="68">
        <v>35.5</v>
      </c>
      <c r="AC513" s="68">
        <v>548</v>
      </c>
      <c r="AD513" s="68"/>
      <c r="AE513" s="80"/>
      <c r="AF513" s="80"/>
      <c r="AG513" s="80"/>
      <c r="AH513" s="80"/>
      <c r="AI513" s="81" t="s">
        <v>144</v>
      </c>
      <c r="AJ513" s="81" t="s">
        <v>34</v>
      </c>
      <c r="AK513" s="81">
        <v>1997</v>
      </c>
      <c r="AL513" s="81" t="s">
        <v>35</v>
      </c>
      <c r="AM513" s="81" t="s">
        <v>304</v>
      </c>
    </row>
    <row r="514" spans="1:39" s="82" customFormat="1" x14ac:dyDescent="0.3">
      <c r="A514" s="67">
        <v>29</v>
      </c>
      <c r="B514" s="68"/>
      <c r="C514" s="68"/>
      <c r="D514" s="68">
        <v>0</v>
      </c>
      <c r="E514" s="68"/>
      <c r="F514" s="68">
        <v>1</v>
      </c>
      <c r="G514" s="69">
        <v>6</v>
      </c>
      <c r="H514" s="68"/>
      <c r="I514" s="69"/>
      <c r="J514" s="69"/>
      <c r="K514" s="70">
        <v>1</v>
      </c>
      <c r="L514" s="68">
        <v>60</v>
      </c>
      <c r="M514" s="71"/>
      <c r="N514" s="72">
        <v>6</v>
      </c>
      <c r="O514" s="84">
        <v>60</v>
      </c>
      <c r="P514" s="73">
        <v>0.79</v>
      </c>
      <c r="Q514" s="84"/>
      <c r="R514" s="74">
        <v>6.7</v>
      </c>
      <c r="S514" s="74"/>
      <c r="T514" s="75">
        <v>8.6999999999999993</v>
      </c>
      <c r="U514" s="75"/>
      <c r="V514" s="76"/>
      <c r="W514" s="76">
        <v>1</v>
      </c>
      <c r="X514" s="77">
        <v>150</v>
      </c>
      <c r="Y514" s="78"/>
      <c r="Z514" s="79"/>
      <c r="AA514" s="69"/>
      <c r="AB514" s="68"/>
      <c r="AC514" s="68"/>
      <c r="AD514" s="68"/>
      <c r="AE514" s="80"/>
      <c r="AF514" s="80"/>
      <c r="AG514" s="80"/>
      <c r="AH514" s="80"/>
      <c r="AI514" s="81" t="s">
        <v>143</v>
      </c>
      <c r="AJ514" s="81" t="s">
        <v>34</v>
      </c>
      <c r="AK514" s="81">
        <v>1997</v>
      </c>
      <c r="AL514" s="81" t="s">
        <v>35</v>
      </c>
      <c r="AM514" s="81" t="s">
        <v>304</v>
      </c>
    </row>
    <row r="515" spans="1:39" x14ac:dyDescent="0.3">
      <c r="A515" s="1">
        <v>62</v>
      </c>
      <c r="D515" s="2">
        <v>0</v>
      </c>
      <c r="F515" s="2">
        <v>0</v>
      </c>
      <c r="H515" s="68"/>
      <c r="K515" s="4">
        <v>2</v>
      </c>
      <c r="L515" s="2">
        <v>60</v>
      </c>
      <c r="M515" s="5">
        <v>8</v>
      </c>
      <c r="O515" s="17">
        <v>60</v>
      </c>
      <c r="T515" s="9">
        <v>5.2479275134435852</v>
      </c>
      <c r="X515" s="11">
        <v>90</v>
      </c>
      <c r="AI515" s="15" t="s">
        <v>50</v>
      </c>
      <c r="AJ515" s="15" t="s">
        <v>34</v>
      </c>
      <c r="AK515" s="15">
        <v>1997</v>
      </c>
      <c r="AL515" s="15" t="s">
        <v>35</v>
      </c>
      <c r="AM515" s="15" t="s">
        <v>304</v>
      </c>
    </row>
    <row r="516" spans="1:39" x14ac:dyDescent="0.3">
      <c r="A516" s="1">
        <v>56</v>
      </c>
      <c r="D516" s="2">
        <v>1</v>
      </c>
      <c r="E516" s="2">
        <v>8</v>
      </c>
      <c r="F516" s="2">
        <v>0</v>
      </c>
      <c r="K516" s="4">
        <v>2</v>
      </c>
      <c r="L516" s="2">
        <v>90</v>
      </c>
      <c r="M516" s="5">
        <v>8</v>
      </c>
      <c r="O516" s="17">
        <v>90</v>
      </c>
      <c r="R516" s="8">
        <v>5.2479275134435852</v>
      </c>
      <c r="T516" s="9">
        <v>6.3219280948873617</v>
      </c>
      <c r="X516" s="11">
        <v>120</v>
      </c>
      <c r="AI516" s="15" t="s">
        <v>50</v>
      </c>
      <c r="AJ516" s="15" t="s">
        <v>34</v>
      </c>
      <c r="AK516" s="15">
        <v>1997</v>
      </c>
      <c r="AL516" s="15" t="s">
        <v>35</v>
      </c>
      <c r="AM516" s="15" t="s">
        <v>304</v>
      </c>
    </row>
    <row r="517" spans="1:39" x14ac:dyDescent="0.3">
      <c r="A517" s="1">
        <v>51</v>
      </c>
      <c r="D517" s="2">
        <v>2</v>
      </c>
      <c r="E517" s="2">
        <v>8</v>
      </c>
      <c r="F517" s="2">
        <v>0</v>
      </c>
      <c r="K517" s="4">
        <v>2</v>
      </c>
      <c r="L517" s="2">
        <v>120</v>
      </c>
      <c r="M517" s="5">
        <v>8</v>
      </c>
      <c r="N517" s="6">
        <v>5</v>
      </c>
      <c r="O517" s="17">
        <v>120</v>
      </c>
      <c r="R517" s="8">
        <v>6.3219280948873617</v>
      </c>
      <c r="T517" s="9">
        <v>7.965784284662087</v>
      </c>
      <c r="X517" s="11">
        <v>165</v>
      </c>
      <c r="AI517" s="15" t="s">
        <v>50</v>
      </c>
      <c r="AJ517" s="15" t="s">
        <v>34</v>
      </c>
      <c r="AK517" s="15">
        <v>1997</v>
      </c>
      <c r="AL517" s="15" t="s">
        <v>35</v>
      </c>
      <c r="AM517" s="15" t="s">
        <v>304</v>
      </c>
    </row>
    <row r="518" spans="1:39" x14ac:dyDescent="0.3">
      <c r="A518" s="1">
        <v>0</v>
      </c>
      <c r="B518" s="2">
        <v>78</v>
      </c>
      <c r="D518" s="2">
        <v>2</v>
      </c>
      <c r="E518" s="2">
        <v>8</v>
      </c>
      <c r="F518" s="2">
        <v>0</v>
      </c>
      <c r="K518" s="4">
        <v>2</v>
      </c>
      <c r="L518" s="2">
        <v>120</v>
      </c>
      <c r="M518" s="5">
        <v>8</v>
      </c>
      <c r="N518" s="6">
        <v>5</v>
      </c>
      <c r="Y518" s="12">
        <f>62/78</f>
        <v>0.79487179487179482</v>
      </c>
      <c r="AB518" s="2">
        <v>27.1</v>
      </c>
      <c r="AC518" s="2">
        <v>382</v>
      </c>
      <c r="AI518" s="15" t="s">
        <v>51</v>
      </c>
      <c r="AJ518" s="15" t="s">
        <v>34</v>
      </c>
      <c r="AK518" s="15">
        <v>1997</v>
      </c>
      <c r="AL518" s="15" t="s">
        <v>35</v>
      </c>
      <c r="AM518" s="15" t="s">
        <v>304</v>
      </c>
    </row>
    <row r="519" spans="1:39" x14ac:dyDescent="0.3">
      <c r="A519" s="1">
        <v>0</v>
      </c>
      <c r="B519" s="2">
        <v>67</v>
      </c>
      <c r="D519" s="2">
        <v>0</v>
      </c>
      <c r="F519" s="2">
        <v>0</v>
      </c>
      <c r="K519" s="4">
        <v>2</v>
      </c>
      <c r="L519" s="2">
        <v>60</v>
      </c>
      <c r="N519" s="6">
        <v>5</v>
      </c>
      <c r="Y519" s="12">
        <v>0.88</v>
      </c>
      <c r="AB519" s="2">
        <v>25.1</v>
      </c>
      <c r="AC519" s="2">
        <v>334</v>
      </c>
      <c r="AI519" s="15" t="s">
        <v>144</v>
      </c>
      <c r="AJ519" s="15" t="s">
        <v>34</v>
      </c>
      <c r="AK519" s="15">
        <v>1997</v>
      </c>
      <c r="AL519" s="15" t="s">
        <v>35</v>
      </c>
      <c r="AM519" s="15" t="s">
        <v>304</v>
      </c>
    </row>
    <row r="520" spans="1:39" x14ac:dyDescent="0.3">
      <c r="A520" s="1">
        <v>29</v>
      </c>
      <c r="D520" s="2">
        <v>0</v>
      </c>
      <c r="F520" s="2">
        <v>1</v>
      </c>
      <c r="G520" s="3">
        <v>5</v>
      </c>
      <c r="K520" s="4">
        <v>2</v>
      </c>
      <c r="L520" s="2">
        <v>60</v>
      </c>
      <c r="N520" s="6">
        <v>5</v>
      </c>
      <c r="O520" s="17">
        <v>60</v>
      </c>
      <c r="P520" s="7">
        <v>0.86</v>
      </c>
      <c r="R520" s="8">
        <v>7.3</v>
      </c>
      <c r="T520" s="9">
        <v>7.8</v>
      </c>
      <c r="W520" s="10">
        <v>1</v>
      </c>
      <c r="X520" s="11">
        <v>150</v>
      </c>
      <c r="AI520" s="15" t="s">
        <v>143</v>
      </c>
      <c r="AJ520" s="15" t="s">
        <v>34</v>
      </c>
      <c r="AK520" s="15">
        <v>1997</v>
      </c>
      <c r="AL520" s="15" t="s">
        <v>35</v>
      </c>
      <c r="AM520" s="15" t="s">
        <v>304</v>
      </c>
    </row>
    <row r="521" spans="1:39" x14ac:dyDescent="0.3">
      <c r="A521" s="1">
        <v>62</v>
      </c>
      <c r="D521" s="2">
        <v>0</v>
      </c>
      <c r="F521" s="2">
        <v>0</v>
      </c>
      <c r="K521" s="4">
        <v>3</v>
      </c>
      <c r="L521" s="2">
        <v>60</v>
      </c>
      <c r="M521" s="5">
        <v>32</v>
      </c>
      <c r="O521" s="17">
        <v>60</v>
      </c>
      <c r="T521" s="9">
        <v>4.3219280948873626</v>
      </c>
      <c r="X521" s="11">
        <v>90</v>
      </c>
      <c r="AI521" s="15" t="s">
        <v>50</v>
      </c>
      <c r="AJ521" s="15" t="s">
        <v>34</v>
      </c>
      <c r="AK521" s="15">
        <v>1997</v>
      </c>
      <c r="AL521" s="15" t="s">
        <v>35</v>
      </c>
      <c r="AM521" s="15" t="s">
        <v>304</v>
      </c>
    </row>
    <row r="522" spans="1:39" x14ac:dyDescent="0.3">
      <c r="A522" s="1">
        <v>56</v>
      </c>
      <c r="D522" s="2">
        <v>1</v>
      </c>
      <c r="E522" s="2">
        <v>32</v>
      </c>
      <c r="F522" s="2">
        <v>0</v>
      </c>
      <c r="K522" s="4">
        <v>3</v>
      </c>
      <c r="L522" s="2">
        <v>90</v>
      </c>
      <c r="M522" s="5">
        <v>32</v>
      </c>
      <c r="O522" s="84">
        <v>90</v>
      </c>
      <c r="R522" s="8">
        <v>4.3219280948873626</v>
      </c>
      <c r="T522" s="9">
        <v>6.1085244567781682</v>
      </c>
      <c r="X522" s="11">
        <v>120</v>
      </c>
      <c r="AI522" s="15" t="s">
        <v>50</v>
      </c>
      <c r="AJ522" s="15" t="s">
        <v>34</v>
      </c>
      <c r="AK522" s="15">
        <v>1997</v>
      </c>
      <c r="AL522" s="15" t="s">
        <v>35</v>
      </c>
      <c r="AM522" s="15" t="s">
        <v>304</v>
      </c>
    </row>
    <row r="523" spans="1:39" x14ac:dyDescent="0.3">
      <c r="A523" s="1">
        <v>51</v>
      </c>
      <c r="D523" s="2">
        <v>2</v>
      </c>
      <c r="E523" s="68">
        <v>32</v>
      </c>
      <c r="F523" s="2">
        <v>0</v>
      </c>
      <c r="K523" s="4">
        <v>3</v>
      </c>
      <c r="L523" s="2">
        <v>120</v>
      </c>
      <c r="M523" s="5">
        <v>32</v>
      </c>
      <c r="N523" s="6">
        <v>5.5</v>
      </c>
      <c r="O523" s="84">
        <v>120</v>
      </c>
      <c r="R523" s="8">
        <v>6.1085244567781682</v>
      </c>
      <c r="T523" s="9">
        <v>8.0443941193584543</v>
      </c>
      <c r="X523" s="11">
        <v>165</v>
      </c>
      <c r="AI523" s="15" t="s">
        <v>50</v>
      </c>
      <c r="AJ523" s="15" t="s">
        <v>34</v>
      </c>
      <c r="AK523" s="15">
        <v>1997</v>
      </c>
      <c r="AL523" s="15" t="s">
        <v>35</v>
      </c>
      <c r="AM523" s="15" t="s">
        <v>304</v>
      </c>
    </row>
    <row r="524" spans="1:39" x14ac:dyDescent="0.3">
      <c r="A524" s="1">
        <v>0</v>
      </c>
      <c r="B524" s="2">
        <v>78</v>
      </c>
      <c r="D524" s="2">
        <v>2</v>
      </c>
      <c r="E524" s="68">
        <v>32</v>
      </c>
      <c r="F524" s="2">
        <v>0</v>
      </c>
      <c r="K524" s="4">
        <v>3</v>
      </c>
      <c r="L524" s="2">
        <v>120</v>
      </c>
      <c r="M524" s="5">
        <v>32</v>
      </c>
      <c r="N524" s="6">
        <v>5.5</v>
      </c>
      <c r="O524" s="84"/>
      <c r="Y524" s="12">
        <f>61/78</f>
        <v>0.78205128205128205</v>
      </c>
      <c r="AB524" s="2">
        <v>27.9</v>
      </c>
      <c r="AC524" s="2">
        <v>302</v>
      </c>
      <c r="AI524" s="15" t="s">
        <v>51</v>
      </c>
      <c r="AJ524" s="15" t="s">
        <v>34</v>
      </c>
      <c r="AK524" s="15">
        <v>1997</v>
      </c>
      <c r="AL524" s="15" t="s">
        <v>35</v>
      </c>
      <c r="AM524" s="15" t="s">
        <v>304</v>
      </c>
    </row>
    <row r="525" spans="1:39" x14ac:dyDescent="0.3">
      <c r="A525" s="1">
        <v>0</v>
      </c>
      <c r="B525" s="2">
        <v>67</v>
      </c>
      <c r="D525" s="2">
        <v>0</v>
      </c>
      <c r="E525" s="68"/>
      <c r="F525" s="2">
        <v>0</v>
      </c>
      <c r="K525" s="4">
        <v>3</v>
      </c>
      <c r="L525" s="2">
        <v>60</v>
      </c>
      <c r="N525" s="6">
        <v>5.5</v>
      </c>
      <c r="O525" s="84"/>
      <c r="Y525" s="12">
        <v>0.78</v>
      </c>
      <c r="AB525" s="2">
        <v>34.6</v>
      </c>
      <c r="AC525" s="2">
        <v>329</v>
      </c>
      <c r="AI525" s="15" t="s">
        <v>144</v>
      </c>
      <c r="AJ525" s="15" t="s">
        <v>34</v>
      </c>
      <c r="AK525" s="15">
        <v>1997</v>
      </c>
      <c r="AL525" s="15" t="s">
        <v>35</v>
      </c>
      <c r="AM525" s="15" t="s">
        <v>304</v>
      </c>
    </row>
    <row r="526" spans="1:39" x14ac:dyDescent="0.3">
      <c r="A526" s="1">
        <v>29</v>
      </c>
      <c r="B526" s="68"/>
      <c r="D526" s="2">
        <v>0</v>
      </c>
      <c r="E526" s="68"/>
      <c r="F526" s="2">
        <v>1</v>
      </c>
      <c r="G526" s="3">
        <v>5.5</v>
      </c>
      <c r="K526" s="4">
        <v>3</v>
      </c>
      <c r="L526" s="2">
        <v>60</v>
      </c>
      <c r="N526" s="6">
        <v>5.5</v>
      </c>
      <c r="O526" s="84">
        <v>60</v>
      </c>
      <c r="P526" s="7">
        <v>0.55000000000000004</v>
      </c>
      <c r="R526" s="8">
        <v>5.8</v>
      </c>
      <c r="T526" s="9">
        <v>6.8</v>
      </c>
      <c r="W526" s="10">
        <v>1</v>
      </c>
      <c r="X526" s="11">
        <v>150</v>
      </c>
      <c r="AI526" s="15" t="s">
        <v>143</v>
      </c>
      <c r="AJ526" s="15" t="s">
        <v>34</v>
      </c>
      <c r="AK526" s="15">
        <v>1997</v>
      </c>
      <c r="AL526" s="15" t="s">
        <v>35</v>
      </c>
      <c r="AM526" s="15" t="s">
        <v>304</v>
      </c>
    </row>
    <row r="527" spans="1:39" x14ac:dyDescent="0.3">
      <c r="A527" s="1">
        <v>8</v>
      </c>
      <c r="B527" s="68">
        <v>8</v>
      </c>
      <c r="D527" s="2">
        <v>4</v>
      </c>
      <c r="E527" s="68">
        <v>20</v>
      </c>
      <c r="F527" s="2">
        <v>0</v>
      </c>
      <c r="K527" s="4">
        <v>1</v>
      </c>
      <c r="L527" s="2">
        <v>3650</v>
      </c>
      <c r="N527" s="6">
        <v>5.5</v>
      </c>
      <c r="O527" s="84">
        <v>3650</v>
      </c>
      <c r="P527" s="7">
        <v>0</v>
      </c>
      <c r="Q527" s="84">
        <v>0</v>
      </c>
      <c r="R527" s="8">
        <v>0</v>
      </c>
      <c r="S527" s="8">
        <v>0</v>
      </c>
      <c r="X527" s="11">
        <v>3710</v>
      </c>
      <c r="Y527" s="12">
        <v>1</v>
      </c>
      <c r="AB527" s="2">
        <v>21.7</v>
      </c>
      <c r="AC527" s="2">
        <v>67</v>
      </c>
      <c r="AI527" s="15" t="s">
        <v>487</v>
      </c>
      <c r="AJ527" s="15" t="s">
        <v>259</v>
      </c>
      <c r="AK527" s="15">
        <v>1965</v>
      </c>
      <c r="AL527" s="15" t="s">
        <v>486</v>
      </c>
    </row>
    <row r="528" spans="1:39" x14ac:dyDescent="0.3">
      <c r="A528" s="1">
        <v>76</v>
      </c>
      <c r="B528" s="68">
        <v>76</v>
      </c>
      <c r="D528" s="2">
        <v>4</v>
      </c>
      <c r="E528" s="68">
        <v>20</v>
      </c>
      <c r="F528" s="2">
        <v>0</v>
      </c>
      <c r="K528" s="4">
        <v>1</v>
      </c>
      <c r="L528" s="2">
        <v>3650</v>
      </c>
      <c r="N528" s="6">
        <v>5.5</v>
      </c>
      <c r="O528" s="84">
        <v>3650</v>
      </c>
      <c r="P528" s="7">
        <v>1</v>
      </c>
      <c r="Q528" s="84">
        <v>0</v>
      </c>
      <c r="R528" s="8">
        <v>9</v>
      </c>
      <c r="S528" s="8">
        <v>0.7</v>
      </c>
      <c r="X528" s="11">
        <v>3710</v>
      </c>
      <c r="Y528" s="12">
        <v>0.59199999999999997</v>
      </c>
      <c r="AB528" s="2">
        <v>15.6</v>
      </c>
      <c r="AC528" s="2">
        <v>55</v>
      </c>
      <c r="AI528" s="15" t="s">
        <v>490</v>
      </c>
      <c r="AJ528" s="15" t="s">
        <v>259</v>
      </c>
      <c r="AK528" s="15">
        <v>1965</v>
      </c>
      <c r="AL528" s="15" t="s">
        <v>486</v>
      </c>
    </row>
    <row r="529" spans="1:39" x14ac:dyDescent="0.3">
      <c r="A529" s="1">
        <v>91</v>
      </c>
      <c r="B529" s="68">
        <v>91</v>
      </c>
      <c r="D529" s="2">
        <v>4</v>
      </c>
      <c r="E529" s="68">
        <v>20</v>
      </c>
      <c r="F529" s="2">
        <v>0</v>
      </c>
      <c r="K529" s="4">
        <v>1</v>
      </c>
      <c r="L529" s="2">
        <v>3650</v>
      </c>
      <c r="N529" s="6">
        <v>5.5</v>
      </c>
      <c r="O529" s="84">
        <v>3650</v>
      </c>
      <c r="P529" s="7">
        <v>1</v>
      </c>
      <c r="Q529" s="84">
        <v>0</v>
      </c>
      <c r="R529" s="8">
        <v>6</v>
      </c>
      <c r="S529" s="8">
        <v>0.7</v>
      </c>
      <c r="X529" s="11">
        <v>3710</v>
      </c>
      <c r="Y529" s="12">
        <v>0.76900000000000002</v>
      </c>
      <c r="AB529" s="2">
        <v>19.5</v>
      </c>
      <c r="AC529" s="2">
        <v>74</v>
      </c>
      <c r="AI529" s="15" t="s">
        <v>489</v>
      </c>
      <c r="AJ529" s="15" t="s">
        <v>259</v>
      </c>
      <c r="AK529" s="15">
        <v>1965</v>
      </c>
      <c r="AL529" s="15" t="s">
        <v>486</v>
      </c>
    </row>
    <row r="530" spans="1:39" x14ac:dyDescent="0.3">
      <c r="A530" s="1">
        <v>62</v>
      </c>
      <c r="B530" s="68">
        <v>62</v>
      </c>
      <c r="D530" s="2">
        <v>4</v>
      </c>
      <c r="E530" s="68">
        <v>20</v>
      </c>
      <c r="F530" s="2">
        <v>0</v>
      </c>
      <c r="K530" s="4">
        <v>1</v>
      </c>
      <c r="L530" s="2">
        <v>3650</v>
      </c>
      <c r="N530" s="6">
        <v>5.5</v>
      </c>
      <c r="O530" s="84">
        <v>3650</v>
      </c>
      <c r="P530" s="7">
        <v>1</v>
      </c>
      <c r="Q530" s="84">
        <v>0</v>
      </c>
      <c r="R530" s="8">
        <v>3</v>
      </c>
      <c r="S530" s="8">
        <v>0.7</v>
      </c>
      <c r="X530" s="11">
        <v>3710</v>
      </c>
      <c r="Y530" s="12">
        <f>(0.93*43+0.895*19)/62</f>
        <v>0.91927419354838713</v>
      </c>
      <c r="AB530" s="2">
        <v>21.7</v>
      </c>
      <c r="AC530" s="2">
        <v>67</v>
      </c>
      <c r="AI530" s="15" t="s">
        <v>488</v>
      </c>
      <c r="AJ530" s="15" t="s">
        <v>259</v>
      </c>
      <c r="AK530" s="15">
        <v>1965</v>
      </c>
      <c r="AL530" s="15" t="s">
        <v>486</v>
      </c>
    </row>
    <row r="531" spans="1:39" x14ac:dyDescent="0.3">
      <c r="A531" s="1">
        <v>5</v>
      </c>
      <c r="B531" s="68">
        <v>5</v>
      </c>
      <c r="D531" s="2">
        <v>4</v>
      </c>
      <c r="E531" s="68">
        <v>2</v>
      </c>
      <c r="F531" s="2">
        <v>0</v>
      </c>
      <c r="K531" s="4">
        <v>2</v>
      </c>
      <c r="L531" s="2">
        <v>3680</v>
      </c>
      <c r="N531" s="6">
        <v>5</v>
      </c>
      <c r="O531" s="84">
        <v>3650</v>
      </c>
      <c r="P531" s="7">
        <v>0.6</v>
      </c>
      <c r="Q531" s="84">
        <v>0</v>
      </c>
      <c r="R531" s="8">
        <v>3.8</v>
      </c>
      <c r="S531" s="8">
        <v>3.4</v>
      </c>
      <c r="X531" s="11">
        <v>3710</v>
      </c>
      <c r="Y531" s="12">
        <v>0.8</v>
      </c>
      <c r="AB531" s="2">
        <v>20.5</v>
      </c>
      <c r="AC531" s="2">
        <v>71</v>
      </c>
      <c r="AI531" s="15" t="s">
        <v>491</v>
      </c>
      <c r="AJ531" s="15" t="s">
        <v>259</v>
      </c>
      <c r="AK531" s="15">
        <v>1965</v>
      </c>
      <c r="AL531" s="15" t="s">
        <v>486</v>
      </c>
    </row>
    <row r="532" spans="1:39" x14ac:dyDescent="0.3">
      <c r="A532" s="1">
        <v>100</v>
      </c>
      <c r="B532" s="68">
        <v>93</v>
      </c>
      <c r="D532" s="2">
        <v>4</v>
      </c>
      <c r="E532" s="68">
        <v>2</v>
      </c>
      <c r="F532" s="2">
        <v>0</v>
      </c>
      <c r="K532" s="4">
        <v>2</v>
      </c>
      <c r="L532" s="2">
        <v>3680</v>
      </c>
      <c r="N532" s="6">
        <v>5</v>
      </c>
      <c r="O532" s="84">
        <v>3650</v>
      </c>
      <c r="P532" s="7">
        <f>91/100</f>
        <v>0.91</v>
      </c>
      <c r="Q532" s="84">
        <v>0</v>
      </c>
      <c r="R532" s="8">
        <v>6.5</v>
      </c>
      <c r="S532" s="8">
        <v>7.3</v>
      </c>
      <c r="X532" s="11">
        <v>3710</v>
      </c>
      <c r="Y532" s="12">
        <v>0.25800000000000001</v>
      </c>
      <c r="AB532" s="2">
        <v>16</v>
      </c>
      <c r="AC532" s="2">
        <v>61</v>
      </c>
      <c r="AI532" s="15" t="s">
        <v>495</v>
      </c>
      <c r="AJ532" s="15" t="s">
        <v>259</v>
      </c>
      <c r="AK532" s="15">
        <v>1965</v>
      </c>
      <c r="AL532" s="15" t="s">
        <v>486</v>
      </c>
    </row>
    <row r="533" spans="1:39" x14ac:dyDescent="0.3">
      <c r="A533" s="1">
        <v>42</v>
      </c>
      <c r="B533" s="68">
        <v>30</v>
      </c>
      <c r="D533" s="2">
        <v>4</v>
      </c>
      <c r="E533" s="68">
        <v>2</v>
      </c>
      <c r="F533" s="2">
        <v>0</v>
      </c>
      <c r="K533" s="4">
        <v>2</v>
      </c>
      <c r="L533" s="2">
        <v>3680</v>
      </c>
      <c r="N533" s="6">
        <v>5</v>
      </c>
      <c r="O533" s="84">
        <v>3650</v>
      </c>
      <c r="P533" s="7">
        <f>32/42</f>
        <v>0.76190476190476186</v>
      </c>
      <c r="Q533" s="84">
        <v>0</v>
      </c>
      <c r="R533" s="8">
        <v>6.1</v>
      </c>
      <c r="S533" s="8">
        <v>7.4</v>
      </c>
      <c r="X533" s="11">
        <v>3710</v>
      </c>
      <c r="Y533" s="12">
        <v>0.5</v>
      </c>
      <c r="AB533" s="2">
        <v>18.899999999999999</v>
      </c>
      <c r="AC533" s="2">
        <v>76</v>
      </c>
      <c r="AI533" s="15" t="s">
        <v>494</v>
      </c>
      <c r="AJ533" s="15" t="s">
        <v>259</v>
      </c>
      <c r="AK533" s="15">
        <v>1965</v>
      </c>
      <c r="AL533" s="15" t="s">
        <v>486</v>
      </c>
    </row>
    <row r="534" spans="1:39" x14ac:dyDescent="0.3">
      <c r="A534" s="1">
        <v>44</v>
      </c>
      <c r="B534" s="68">
        <v>39</v>
      </c>
      <c r="D534" s="2">
        <v>4</v>
      </c>
      <c r="E534" s="68">
        <v>2</v>
      </c>
      <c r="F534" s="2">
        <v>0</v>
      </c>
      <c r="K534" s="4">
        <v>2</v>
      </c>
      <c r="L534" s="2">
        <v>3680</v>
      </c>
      <c r="N534" s="6">
        <v>5</v>
      </c>
      <c r="O534" s="17">
        <v>3650</v>
      </c>
      <c r="P534" s="7">
        <f>35/44</f>
        <v>0.79545454545454541</v>
      </c>
      <c r="Q534" s="84">
        <v>0</v>
      </c>
      <c r="R534" s="8">
        <v>6.1</v>
      </c>
      <c r="S534" s="8">
        <v>6.1</v>
      </c>
      <c r="X534" s="11">
        <v>3710</v>
      </c>
      <c r="Y534" s="12">
        <v>0.74399999999999999</v>
      </c>
      <c r="AB534" s="2">
        <v>20.5</v>
      </c>
      <c r="AC534" s="2">
        <v>71</v>
      </c>
      <c r="AI534" s="15" t="s">
        <v>492</v>
      </c>
      <c r="AJ534" s="15" t="s">
        <v>259</v>
      </c>
      <c r="AK534" s="15">
        <v>1965</v>
      </c>
      <c r="AL534" s="15" t="s">
        <v>486</v>
      </c>
    </row>
    <row r="535" spans="1:39" x14ac:dyDescent="0.3">
      <c r="A535" s="1">
        <v>72</v>
      </c>
      <c r="B535" s="68">
        <v>70</v>
      </c>
      <c r="D535" s="2">
        <v>4</v>
      </c>
      <c r="E535" s="68">
        <v>2</v>
      </c>
      <c r="F535" s="2">
        <v>0</v>
      </c>
      <c r="K535" s="4">
        <v>2</v>
      </c>
      <c r="L535" s="2">
        <v>3680</v>
      </c>
      <c r="N535" s="6">
        <v>5</v>
      </c>
      <c r="O535" s="17">
        <v>3650</v>
      </c>
      <c r="P535" s="7">
        <f>62/72</f>
        <v>0.86111111111111116</v>
      </c>
      <c r="Q535" s="84">
        <v>0</v>
      </c>
      <c r="R535" s="8">
        <v>6.5</v>
      </c>
      <c r="S535" s="8">
        <v>5.2</v>
      </c>
      <c r="T535" s="75"/>
      <c r="V535" s="76"/>
      <c r="X535" s="11">
        <v>3710</v>
      </c>
      <c r="Y535" s="12">
        <v>0.54300000000000004</v>
      </c>
      <c r="AB535" s="2">
        <v>20.5</v>
      </c>
      <c r="AC535" s="2">
        <v>71</v>
      </c>
      <c r="AI535" s="81" t="s">
        <v>493</v>
      </c>
      <c r="AJ535" s="81" t="s">
        <v>259</v>
      </c>
      <c r="AK535" s="15">
        <v>1965</v>
      </c>
      <c r="AL535" s="81" t="s">
        <v>486</v>
      </c>
    </row>
    <row r="536" spans="1:39" s="82" customFormat="1" x14ac:dyDescent="0.3">
      <c r="A536" s="67">
        <v>5</v>
      </c>
      <c r="B536" s="68">
        <v>5</v>
      </c>
      <c r="C536" s="68"/>
      <c r="D536" s="68">
        <v>4</v>
      </c>
      <c r="E536" s="68">
        <v>4</v>
      </c>
      <c r="F536" s="68">
        <v>0</v>
      </c>
      <c r="G536" s="69"/>
      <c r="H536" s="68"/>
      <c r="I536" s="69"/>
      <c r="J536" s="69"/>
      <c r="K536" s="70">
        <v>3</v>
      </c>
      <c r="L536" s="68">
        <v>3680</v>
      </c>
      <c r="M536" s="71"/>
      <c r="N536" s="72">
        <v>5.7</v>
      </c>
      <c r="O536" s="84">
        <v>3650</v>
      </c>
      <c r="P536" s="73">
        <f>0.4</f>
        <v>0.4</v>
      </c>
      <c r="Q536" s="84">
        <v>0</v>
      </c>
      <c r="R536" s="74">
        <v>3.6</v>
      </c>
      <c r="S536" s="74">
        <v>3.8</v>
      </c>
      <c r="T536" s="75"/>
      <c r="U536" s="75"/>
      <c r="V536" s="76"/>
      <c r="W536" s="76"/>
      <c r="X536" s="77">
        <v>3710</v>
      </c>
      <c r="Y536" s="78">
        <v>0.8</v>
      </c>
      <c r="Z536" s="79"/>
      <c r="AA536" s="69"/>
      <c r="AB536" s="68">
        <v>20.5</v>
      </c>
      <c r="AC536" s="68">
        <v>71</v>
      </c>
      <c r="AD536" s="68"/>
      <c r="AE536" s="80"/>
      <c r="AF536" s="80"/>
      <c r="AG536" s="80"/>
      <c r="AH536" s="80"/>
      <c r="AI536" s="81" t="s">
        <v>491</v>
      </c>
      <c r="AJ536" s="81" t="s">
        <v>259</v>
      </c>
      <c r="AK536" s="81">
        <v>1965</v>
      </c>
      <c r="AL536" s="81" t="s">
        <v>486</v>
      </c>
      <c r="AM536" s="81"/>
    </row>
    <row r="537" spans="1:39" s="82" customFormat="1" x14ac:dyDescent="0.3">
      <c r="A537" s="67">
        <v>100</v>
      </c>
      <c r="B537" s="68">
        <v>93</v>
      </c>
      <c r="C537" s="68"/>
      <c r="D537" s="68">
        <v>4</v>
      </c>
      <c r="E537" s="68">
        <v>4</v>
      </c>
      <c r="F537" s="68">
        <v>0</v>
      </c>
      <c r="G537" s="69"/>
      <c r="H537" s="68"/>
      <c r="I537" s="69"/>
      <c r="J537" s="69"/>
      <c r="K537" s="70">
        <v>3</v>
      </c>
      <c r="L537" s="68">
        <v>3680</v>
      </c>
      <c r="M537" s="71"/>
      <c r="N537" s="72">
        <v>5.7</v>
      </c>
      <c r="O537" s="84">
        <v>3650</v>
      </c>
      <c r="P537" s="73">
        <f>93/100</f>
        <v>0.93</v>
      </c>
      <c r="Q537" s="84">
        <v>0</v>
      </c>
      <c r="R537" s="74">
        <v>6.8</v>
      </c>
      <c r="S537" s="74">
        <v>6.6</v>
      </c>
      <c r="T537" s="75"/>
      <c r="U537" s="75"/>
      <c r="V537" s="76"/>
      <c r="W537" s="76"/>
      <c r="X537" s="77">
        <v>3710</v>
      </c>
      <c r="Y537" s="78">
        <v>0.376</v>
      </c>
      <c r="Z537" s="79"/>
      <c r="AA537" s="69"/>
      <c r="AB537" s="68">
        <v>16</v>
      </c>
      <c r="AC537" s="68">
        <v>61</v>
      </c>
      <c r="AD537" s="68"/>
      <c r="AE537" s="80"/>
      <c r="AF537" s="80"/>
      <c r="AG537" s="80"/>
      <c r="AH537" s="80"/>
      <c r="AI537" s="81" t="s">
        <v>495</v>
      </c>
      <c r="AJ537" s="81" t="s">
        <v>259</v>
      </c>
      <c r="AK537" s="81">
        <v>1965</v>
      </c>
      <c r="AL537" s="81" t="s">
        <v>486</v>
      </c>
      <c r="AM537" s="81"/>
    </row>
    <row r="538" spans="1:39" s="82" customFormat="1" x14ac:dyDescent="0.3">
      <c r="A538" s="67">
        <v>42</v>
      </c>
      <c r="B538" s="68">
        <v>30</v>
      </c>
      <c r="C538" s="68"/>
      <c r="D538" s="68">
        <v>4</v>
      </c>
      <c r="E538" s="68">
        <v>4</v>
      </c>
      <c r="F538" s="68">
        <v>0</v>
      </c>
      <c r="G538" s="69"/>
      <c r="H538" s="68"/>
      <c r="I538" s="69"/>
      <c r="J538" s="69"/>
      <c r="K538" s="70">
        <v>3</v>
      </c>
      <c r="L538" s="68">
        <v>3680</v>
      </c>
      <c r="M538" s="71"/>
      <c r="N538" s="72">
        <v>5.7</v>
      </c>
      <c r="O538" s="84">
        <v>3650</v>
      </c>
      <c r="P538" s="73">
        <f>27/42</f>
        <v>0.6428571428571429</v>
      </c>
      <c r="Q538" s="84">
        <v>0</v>
      </c>
      <c r="R538" s="74">
        <v>4.9000000000000004</v>
      </c>
      <c r="S538" s="74">
        <v>6.9</v>
      </c>
      <c r="T538" s="75"/>
      <c r="U538" s="75"/>
      <c r="V538" s="76"/>
      <c r="W538" s="76"/>
      <c r="X538" s="77">
        <v>3710</v>
      </c>
      <c r="Y538" s="78">
        <v>0.93300000000000005</v>
      </c>
      <c r="Z538" s="79"/>
      <c r="AA538" s="69"/>
      <c r="AB538" s="68">
        <v>18.899999999999999</v>
      </c>
      <c r="AC538" s="68">
        <v>76</v>
      </c>
      <c r="AD538" s="68"/>
      <c r="AE538" s="80"/>
      <c r="AF538" s="80"/>
      <c r="AG538" s="80"/>
      <c r="AH538" s="80"/>
      <c r="AI538" s="81" t="s">
        <v>494</v>
      </c>
      <c r="AJ538" s="81" t="s">
        <v>259</v>
      </c>
      <c r="AK538" s="81">
        <v>1965</v>
      </c>
      <c r="AL538" s="81" t="s">
        <v>486</v>
      </c>
      <c r="AM538" s="81"/>
    </row>
    <row r="539" spans="1:39" s="82" customFormat="1" x14ac:dyDescent="0.3">
      <c r="A539" s="67">
        <v>44</v>
      </c>
      <c r="B539" s="68">
        <v>39</v>
      </c>
      <c r="C539" s="68"/>
      <c r="D539" s="68">
        <v>4</v>
      </c>
      <c r="E539" s="68">
        <v>4</v>
      </c>
      <c r="F539" s="68">
        <v>0</v>
      </c>
      <c r="G539" s="69"/>
      <c r="H539" s="68"/>
      <c r="I539" s="69"/>
      <c r="J539" s="69"/>
      <c r="K539" s="70">
        <v>3</v>
      </c>
      <c r="L539" s="68">
        <v>3680</v>
      </c>
      <c r="M539" s="71"/>
      <c r="N539" s="72">
        <v>5.7</v>
      </c>
      <c r="O539" s="84">
        <v>3650</v>
      </c>
      <c r="P539" s="73">
        <f>32/44</f>
        <v>0.72727272727272729</v>
      </c>
      <c r="Q539" s="84">
        <v>0</v>
      </c>
      <c r="R539" s="74">
        <v>5.5</v>
      </c>
      <c r="S539" s="74">
        <v>6.1</v>
      </c>
      <c r="T539" s="75"/>
      <c r="U539" s="75"/>
      <c r="V539" s="76"/>
      <c r="W539" s="76"/>
      <c r="X539" s="77">
        <v>3710</v>
      </c>
      <c r="Y539" s="78">
        <v>0.92300000000000004</v>
      </c>
      <c r="Z539" s="79"/>
      <c r="AA539" s="69"/>
      <c r="AB539" s="68">
        <v>20.5</v>
      </c>
      <c r="AC539" s="68">
        <v>71</v>
      </c>
      <c r="AD539" s="68"/>
      <c r="AE539" s="80"/>
      <c r="AF539" s="80"/>
      <c r="AG539" s="80"/>
      <c r="AH539" s="80"/>
      <c r="AI539" s="81" t="s">
        <v>492</v>
      </c>
      <c r="AJ539" s="81" t="s">
        <v>259</v>
      </c>
      <c r="AK539" s="81">
        <v>1965</v>
      </c>
      <c r="AL539" s="81" t="s">
        <v>486</v>
      </c>
      <c r="AM539" s="81"/>
    </row>
    <row r="540" spans="1:39" s="82" customFormat="1" x14ac:dyDescent="0.3">
      <c r="A540" s="67">
        <v>72</v>
      </c>
      <c r="B540" s="68">
        <v>70</v>
      </c>
      <c r="C540" s="68"/>
      <c r="D540" s="68">
        <v>4</v>
      </c>
      <c r="E540" s="68">
        <v>4</v>
      </c>
      <c r="F540" s="68">
        <v>0</v>
      </c>
      <c r="G540" s="69"/>
      <c r="H540" s="68"/>
      <c r="I540" s="69"/>
      <c r="J540" s="69"/>
      <c r="K540" s="70">
        <v>3</v>
      </c>
      <c r="L540" s="68">
        <v>3680</v>
      </c>
      <c r="M540" s="71"/>
      <c r="N540" s="72">
        <v>5.7</v>
      </c>
      <c r="O540" s="84">
        <v>3650</v>
      </c>
      <c r="P540" s="73">
        <f>38/72</f>
        <v>0.52777777777777779</v>
      </c>
      <c r="Q540" s="84">
        <v>0</v>
      </c>
      <c r="R540" s="74">
        <v>3.9</v>
      </c>
      <c r="S540" s="74">
        <v>6.1</v>
      </c>
      <c r="T540" s="75"/>
      <c r="U540" s="75"/>
      <c r="V540" s="76"/>
      <c r="W540" s="76"/>
      <c r="X540" s="77">
        <v>3710</v>
      </c>
      <c r="Y540" s="78">
        <v>0.98599999999999999</v>
      </c>
      <c r="Z540" s="79"/>
      <c r="AA540" s="69"/>
      <c r="AB540" s="68">
        <v>20.5</v>
      </c>
      <c r="AC540" s="68">
        <v>71</v>
      </c>
      <c r="AD540" s="68"/>
      <c r="AE540" s="80"/>
      <c r="AF540" s="80"/>
      <c r="AG540" s="80"/>
      <c r="AH540" s="80"/>
      <c r="AI540" s="81" t="s">
        <v>493</v>
      </c>
      <c r="AJ540" s="81" t="s">
        <v>259</v>
      </c>
      <c r="AK540" s="81">
        <v>1965</v>
      </c>
      <c r="AL540" s="81" t="s">
        <v>486</v>
      </c>
      <c r="AM540" s="81"/>
    </row>
    <row r="541" spans="1:39" s="82" customFormat="1" x14ac:dyDescent="0.3">
      <c r="A541" s="67">
        <v>89</v>
      </c>
      <c r="B541" s="68">
        <v>0</v>
      </c>
      <c r="C541" s="68"/>
      <c r="D541" s="68">
        <v>2</v>
      </c>
      <c r="E541" s="68">
        <v>20</v>
      </c>
      <c r="F541" s="68">
        <v>0</v>
      </c>
      <c r="G541" s="69"/>
      <c r="H541" s="69">
        <v>77</v>
      </c>
      <c r="I541" s="69">
        <v>0</v>
      </c>
      <c r="J541" s="69">
        <v>0</v>
      </c>
      <c r="K541" s="70">
        <v>1</v>
      </c>
      <c r="L541" s="68">
        <v>161</v>
      </c>
      <c r="M541" s="71">
        <v>20</v>
      </c>
      <c r="N541" s="72"/>
      <c r="O541" s="84"/>
      <c r="P541" s="73"/>
      <c r="Q541" s="84"/>
      <c r="R541" s="74"/>
      <c r="S541" s="74"/>
      <c r="T541" s="75">
        <v>6</v>
      </c>
      <c r="U541" s="75"/>
      <c r="V541" s="76"/>
      <c r="W541" s="76">
        <v>1</v>
      </c>
      <c r="X541" s="77">
        <v>189</v>
      </c>
      <c r="Y541" s="78"/>
      <c r="Z541" s="79"/>
      <c r="AA541" s="69"/>
      <c r="AB541" s="68"/>
      <c r="AC541" s="68"/>
      <c r="AD541" s="68"/>
      <c r="AE541" s="80"/>
      <c r="AF541" s="80"/>
      <c r="AG541" s="80"/>
      <c r="AH541" s="80"/>
      <c r="AI541" s="81" t="s">
        <v>345</v>
      </c>
      <c r="AJ541" s="81" t="s">
        <v>343</v>
      </c>
      <c r="AK541" s="81">
        <v>1983</v>
      </c>
      <c r="AL541" s="81" t="s">
        <v>344</v>
      </c>
      <c r="AM541" s="81"/>
    </row>
    <row r="542" spans="1:39" s="82" customFormat="1" x14ac:dyDescent="0.3">
      <c r="A542" s="67">
        <v>61</v>
      </c>
      <c r="B542" s="68">
        <v>0</v>
      </c>
      <c r="C542" s="68"/>
      <c r="D542" s="68">
        <v>2</v>
      </c>
      <c r="E542" s="68">
        <v>20</v>
      </c>
      <c r="F542" s="68">
        <v>0</v>
      </c>
      <c r="G542" s="69"/>
      <c r="H542" s="69">
        <v>77</v>
      </c>
      <c r="I542" s="69">
        <v>4</v>
      </c>
      <c r="J542" s="69"/>
      <c r="K542" s="70">
        <v>1</v>
      </c>
      <c r="L542" s="68">
        <v>161</v>
      </c>
      <c r="M542" s="71">
        <v>20</v>
      </c>
      <c r="N542" s="72"/>
      <c r="O542" s="84"/>
      <c r="P542" s="73"/>
      <c r="Q542" s="84"/>
      <c r="R542" s="74"/>
      <c r="S542" s="74"/>
      <c r="T542" s="75">
        <v>5.5</v>
      </c>
      <c r="U542" s="75"/>
      <c r="V542" s="76"/>
      <c r="W542" s="76">
        <f>59/61</f>
        <v>0.96721311475409832</v>
      </c>
      <c r="X542" s="77">
        <v>189</v>
      </c>
      <c r="Y542" s="78"/>
      <c r="Z542" s="79"/>
      <c r="AA542" s="69"/>
      <c r="AB542" s="68"/>
      <c r="AC542" s="68"/>
      <c r="AD542" s="68"/>
      <c r="AE542" s="80"/>
      <c r="AF542" s="80" t="s">
        <v>353</v>
      </c>
      <c r="AG542" s="80"/>
      <c r="AH542" s="80"/>
      <c r="AI542" s="81" t="s">
        <v>346</v>
      </c>
      <c r="AJ542" s="81" t="s">
        <v>343</v>
      </c>
      <c r="AK542" s="81">
        <v>1983</v>
      </c>
      <c r="AL542" s="81" t="s">
        <v>344</v>
      </c>
      <c r="AM542" s="81"/>
    </row>
    <row r="543" spans="1:39" s="82" customFormat="1" x14ac:dyDescent="0.3">
      <c r="A543" s="67">
        <v>93</v>
      </c>
      <c r="B543" s="68">
        <v>0</v>
      </c>
      <c r="C543" s="68"/>
      <c r="D543" s="68">
        <v>2</v>
      </c>
      <c r="E543" s="68">
        <v>2</v>
      </c>
      <c r="F543" s="68">
        <v>0</v>
      </c>
      <c r="G543" s="69"/>
      <c r="H543" s="69">
        <v>77</v>
      </c>
      <c r="I543" s="69">
        <v>0</v>
      </c>
      <c r="J543" s="69">
        <v>0</v>
      </c>
      <c r="K543" s="70">
        <v>2</v>
      </c>
      <c r="L543" s="68">
        <v>161</v>
      </c>
      <c r="M543" s="71">
        <v>2</v>
      </c>
      <c r="N543" s="72"/>
      <c r="O543" s="84"/>
      <c r="P543" s="73"/>
      <c r="Q543" s="84"/>
      <c r="R543" s="74"/>
      <c r="S543" s="74"/>
      <c r="T543" s="75">
        <v>4.7</v>
      </c>
      <c r="U543" s="75"/>
      <c r="V543" s="76"/>
      <c r="W543" s="76">
        <f>88/93</f>
        <v>0.94623655913978499</v>
      </c>
      <c r="X543" s="77">
        <v>189</v>
      </c>
      <c r="Y543" s="78"/>
      <c r="Z543" s="79"/>
      <c r="AA543" s="69"/>
      <c r="AB543" s="68"/>
      <c r="AC543" s="68"/>
      <c r="AD543" s="68"/>
      <c r="AE543" s="80"/>
      <c r="AF543" s="80"/>
      <c r="AG543" s="80"/>
      <c r="AH543" s="80"/>
      <c r="AI543" s="81" t="s">
        <v>345</v>
      </c>
      <c r="AJ543" s="81" t="s">
        <v>343</v>
      </c>
      <c r="AK543" s="81">
        <v>1983</v>
      </c>
      <c r="AL543" s="81" t="s">
        <v>344</v>
      </c>
      <c r="AM543" s="81"/>
    </row>
    <row r="544" spans="1:39" s="82" customFormat="1" x14ac:dyDescent="0.3">
      <c r="A544" s="67">
        <v>57</v>
      </c>
      <c r="B544" s="68">
        <v>0</v>
      </c>
      <c r="C544" s="68"/>
      <c r="D544" s="68">
        <v>2</v>
      </c>
      <c r="E544" s="68">
        <v>2</v>
      </c>
      <c r="F544" s="68">
        <v>0</v>
      </c>
      <c r="G544" s="69"/>
      <c r="H544" s="69">
        <v>77</v>
      </c>
      <c r="I544" s="69">
        <v>4</v>
      </c>
      <c r="J544" s="69"/>
      <c r="K544" s="70">
        <v>2</v>
      </c>
      <c r="L544" s="68">
        <v>161</v>
      </c>
      <c r="M544" s="71">
        <v>2</v>
      </c>
      <c r="N544" s="72"/>
      <c r="O544" s="84"/>
      <c r="P544" s="73"/>
      <c r="Q544" s="84"/>
      <c r="R544" s="74"/>
      <c r="S544" s="74"/>
      <c r="T544" s="75">
        <v>4.0999999999999996</v>
      </c>
      <c r="U544" s="75"/>
      <c r="V544" s="76"/>
      <c r="W544" s="76">
        <f>42/57</f>
        <v>0.73684210526315785</v>
      </c>
      <c r="X544" s="77">
        <v>189</v>
      </c>
      <c r="Y544" s="78"/>
      <c r="Z544" s="79"/>
      <c r="AA544" s="69"/>
      <c r="AB544" s="68"/>
      <c r="AC544" s="68"/>
      <c r="AD544" s="68"/>
      <c r="AE544" s="80"/>
      <c r="AF544" s="80" t="s">
        <v>353</v>
      </c>
      <c r="AG544" s="80"/>
      <c r="AH544" s="80"/>
      <c r="AI544" s="81" t="s">
        <v>346</v>
      </c>
      <c r="AJ544" s="81" t="s">
        <v>343</v>
      </c>
      <c r="AK544" s="81">
        <v>1983</v>
      </c>
      <c r="AL544" s="81" t="s">
        <v>344</v>
      </c>
      <c r="AM544" s="81"/>
    </row>
    <row r="545" spans="1:39" s="82" customFormat="1" x14ac:dyDescent="0.3">
      <c r="A545" s="67">
        <v>133</v>
      </c>
      <c r="B545" s="68">
        <v>0</v>
      </c>
      <c r="C545" s="68"/>
      <c r="D545" s="68">
        <v>2</v>
      </c>
      <c r="E545" s="68">
        <v>3.5</v>
      </c>
      <c r="F545" s="68">
        <v>0</v>
      </c>
      <c r="G545" s="69"/>
      <c r="H545" s="69">
        <v>77</v>
      </c>
      <c r="I545" s="69">
        <v>0</v>
      </c>
      <c r="J545" s="69">
        <v>0</v>
      </c>
      <c r="K545" s="70">
        <v>3</v>
      </c>
      <c r="L545" s="68">
        <v>161</v>
      </c>
      <c r="M545" s="71">
        <v>3.5</v>
      </c>
      <c r="N545" s="72"/>
      <c r="O545" s="84"/>
      <c r="P545" s="73"/>
      <c r="Q545" s="84"/>
      <c r="R545" s="74"/>
      <c r="S545" s="74"/>
      <c r="T545" s="75">
        <v>4.5</v>
      </c>
      <c r="U545" s="75"/>
      <c r="V545" s="76"/>
      <c r="W545" s="76">
        <f>125/133</f>
        <v>0.93984962406015038</v>
      </c>
      <c r="X545" s="77">
        <v>189</v>
      </c>
      <c r="Y545" s="78"/>
      <c r="Z545" s="79"/>
      <c r="AA545" s="69"/>
      <c r="AB545" s="68"/>
      <c r="AC545" s="68"/>
      <c r="AD545" s="68"/>
      <c r="AE545" s="80"/>
      <c r="AF545" s="80"/>
      <c r="AG545" s="80"/>
      <c r="AH545" s="80"/>
      <c r="AI545" s="81" t="s">
        <v>345</v>
      </c>
      <c r="AJ545" s="81" t="s">
        <v>343</v>
      </c>
      <c r="AK545" s="81">
        <v>1983</v>
      </c>
      <c r="AL545" s="81" t="s">
        <v>344</v>
      </c>
      <c r="AM545" s="81"/>
    </row>
    <row r="546" spans="1:39" s="82" customFormat="1" x14ac:dyDescent="0.3">
      <c r="A546" s="67">
        <v>17</v>
      </c>
      <c r="B546" s="68">
        <v>0</v>
      </c>
      <c r="C546" s="68"/>
      <c r="D546" s="68">
        <v>2</v>
      </c>
      <c r="E546" s="68">
        <v>3.5</v>
      </c>
      <c r="F546" s="68">
        <v>0</v>
      </c>
      <c r="G546" s="69"/>
      <c r="H546" s="69">
        <v>77</v>
      </c>
      <c r="I546" s="69">
        <v>4</v>
      </c>
      <c r="J546" s="69"/>
      <c r="K546" s="70">
        <v>3</v>
      </c>
      <c r="L546" s="68">
        <v>161</v>
      </c>
      <c r="M546" s="71">
        <v>3.5</v>
      </c>
      <c r="N546" s="72"/>
      <c r="O546" s="84"/>
      <c r="P546" s="73"/>
      <c r="Q546" s="84"/>
      <c r="R546" s="74"/>
      <c r="S546" s="74"/>
      <c r="T546" s="75">
        <v>4.5</v>
      </c>
      <c r="U546" s="75"/>
      <c r="V546" s="76"/>
      <c r="W546" s="76">
        <f>12/17</f>
        <v>0.70588235294117652</v>
      </c>
      <c r="X546" s="77">
        <v>189</v>
      </c>
      <c r="Y546" s="78"/>
      <c r="Z546" s="79"/>
      <c r="AA546" s="69"/>
      <c r="AB546" s="68"/>
      <c r="AC546" s="68"/>
      <c r="AD546" s="68"/>
      <c r="AE546" s="80"/>
      <c r="AF546" s="80" t="s">
        <v>353</v>
      </c>
      <c r="AG546" s="80"/>
      <c r="AH546" s="80"/>
      <c r="AI546" s="81" t="s">
        <v>346</v>
      </c>
      <c r="AJ546" s="81" t="s">
        <v>343</v>
      </c>
      <c r="AK546" s="81">
        <v>1983</v>
      </c>
      <c r="AL546" s="81" t="s">
        <v>344</v>
      </c>
      <c r="AM546" s="81"/>
    </row>
    <row r="547" spans="1:39" s="82" customFormat="1" x14ac:dyDescent="0.3">
      <c r="A547" s="67">
        <v>48</v>
      </c>
      <c r="B547" s="68">
        <v>48</v>
      </c>
      <c r="C547" s="68"/>
      <c r="D547" s="68">
        <v>0</v>
      </c>
      <c r="E547" s="68"/>
      <c r="F547" s="68">
        <v>0</v>
      </c>
      <c r="G547" s="69"/>
      <c r="H547" s="68"/>
      <c r="I547" s="69"/>
      <c r="J547" s="69"/>
      <c r="K547" s="70">
        <v>1</v>
      </c>
      <c r="L547" s="68">
        <v>60</v>
      </c>
      <c r="M547" s="71"/>
      <c r="N547" s="72">
        <v>6</v>
      </c>
      <c r="O547" s="84"/>
      <c r="P547" s="73"/>
      <c r="Q547" s="84"/>
      <c r="R547" s="74"/>
      <c r="S547" s="74"/>
      <c r="T547" s="75"/>
      <c r="U547" s="75"/>
      <c r="V547" s="76"/>
      <c r="W547" s="76"/>
      <c r="X547" s="77"/>
      <c r="Y547" s="78">
        <f>20/48</f>
        <v>0.41666666666666669</v>
      </c>
      <c r="Z547" s="79"/>
      <c r="AA547" s="69"/>
      <c r="AB547" s="68">
        <v>27.3</v>
      </c>
      <c r="AC547" s="68">
        <v>9.3000000000000007</v>
      </c>
      <c r="AD547" s="68"/>
      <c r="AE547" s="80"/>
      <c r="AF547" s="80"/>
      <c r="AG547" s="80"/>
      <c r="AH547" s="80"/>
      <c r="AI547" s="81" t="s">
        <v>512</v>
      </c>
      <c r="AJ547" s="81" t="s">
        <v>509</v>
      </c>
      <c r="AK547" s="81">
        <v>2005</v>
      </c>
      <c r="AL547" s="81" t="s">
        <v>510</v>
      </c>
      <c r="AM547" s="81"/>
    </row>
    <row r="548" spans="1:39" s="82" customFormat="1" x14ac:dyDescent="0.3">
      <c r="A548" s="67">
        <v>48</v>
      </c>
      <c r="B548" s="68"/>
      <c r="C548" s="68"/>
      <c r="D548" s="68">
        <v>0</v>
      </c>
      <c r="E548" s="68"/>
      <c r="F548" s="68">
        <v>1</v>
      </c>
      <c r="G548" s="69">
        <v>6</v>
      </c>
      <c r="H548" s="68"/>
      <c r="I548" s="69"/>
      <c r="J548" s="69"/>
      <c r="K548" s="70">
        <v>1</v>
      </c>
      <c r="L548" s="68">
        <v>120</v>
      </c>
      <c r="M548" s="71"/>
      <c r="N548" s="72">
        <v>6</v>
      </c>
      <c r="O548" s="84"/>
      <c r="P548" s="73"/>
      <c r="Q548" s="84"/>
      <c r="R548" s="74"/>
      <c r="S548" s="74"/>
      <c r="T548" s="75"/>
      <c r="U548" s="75"/>
      <c r="V548" s="76"/>
      <c r="W548" s="76"/>
      <c r="X548" s="77"/>
      <c r="Y548" s="78"/>
      <c r="Z548" s="79"/>
      <c r="AA548" s="69"/>
      <c r="AB548" s="68"/>
      <c r="AC548" s="68"/>
      <c r="AD548" s="68"/>
      <c r="AE548" s="80"/>
      <c r="AF548" s="80"/>
      <c r="AG548" s="80"/>
      <c r="AH548" s="80"/>
      <c r="AI548" s="81" t="s">
        <v>512</v>
      </c>
      <c r="AJ548" s="81" t="s">
        <v>509</v>
      </c>
      <c r="AK548" s="81">
        <v>2005</v>
      </c>
      <c r="AL548" s="81" t="s">
        <v>510</v>
      </c>
      <c r="AM548" s="81"/>
    </row>
    <row r="549" spans="1:39" s="82" customFormat="1" x14ac:dyDescent="0.3">
      <c r="A549" s="67">
        <v>48</v>
      </c>
      <c r="B549" s="68">
        <v>41</v>
      </c>
      <c r="C549" s="68"/>
      <c r="D549" s="68">
        <v>0</v>
      </c>
      <c r="E549" s="68"/>
      <c r="F549" s="68">
        <v>2</v>
      </c>
      <c r="G549" s="69">
        <v>6</v>
      </c>
      <c r="H549" s="68"/>
      <c r="I549" s="69"/>
      <c r="J549" s="69"/>
      <c r="K549" s="70">
        <v>1</v>
      </c>
      <c r="L549" s="68">
        <v>180</v>
      </c>
      <c r="M549" s="71"/>
      <c r="N549" s="72">
        <v>6</v>
      </c>
      <c r="O549" s="84"/>
      <c r="P549" s="73"/>
      <c r="Q549" s="84"/>
      <c r="R549" s="74"/>
      <c r="S549" s="74"/>
      <c r="T549" s="75"/>
      <c r="U549" s="75"/>
      <c r="V549" s="76"/>
      <c r="W549" s="76"/>
      <c r="X549" s="77"/>
      <c r="Y549" s="78">
        <f>3/41</f>
        <v>7.3170731707317069E-2</v>
      </c>
      <c r="Z549" s="79"/>
      <c r="AA549" s="69"/>
      <c r="AB549" s="68">
        <v>18.7</v>
      </c>
      <c r="AC549" s="68">
        <v>43.6</v>
      </c>
      <c r="AD549" s="68"/>
      <c r="AE549" s="80"/>
      <c r="AF549" s="80"/>
      <c r="AG549" s="80"/>
      <c r="AH549" s="80"/>
      <c r="AI549" s="81" t="s">
        <v>512</v>
      </c>
      <c r="AJ549" s="81" t="s">
        <v>509</v>
      </c>
      <c r="AK549" s="81">
        <v>2005</v>
      </c>
      <c r="AL549" s="81" t="s">
        <v>510</v>
      </c>
      <c r="AM549" s="81"/>
    </row>
    <row r="550" spans="1:39" s="82" customFormat="1" x14ac:dyDescent="0.3">
      <c r="A550" s="67">
        <v>42</v>
      </c>
      <c r="B550" s="68"/>
      <c r="C550" s="68"/>
      <c r="D550" s="68">
        <v>0</v>
      </c>
      <c r="E550" s="68"/>
      <c r="F550" s="68">
        <v>0</v>
      </c>
      <c r="G550" s="69"/>
      <c r="H550" s="68"/>
      <c r="I550" s="69"/>
      <c r="J550" s="69"/>
      <c r="K550" s="70">
        <v>1</v>
      </c>
      <c r="L550" s="68">
        <v>60</v>
      </c>
      <c r="M550" s="71">
        <v>40</v>
      </c>
      <c r="N550" s="72"/>
      <c r="O550" s="84"/>
      <c r="P550" s="73"/>
      <c r="Q550" s="84"/>
      <c r="R550" s="74"/>
      <c r="S550" s="74"/>
      <c r="T550" s="75"/>
      <c r="U550" s="75"/>
      <c r="V550" s="76"/>
      <c r="W550" s="76"/>
      <c r="X550" s="77"/>
      <c r="Y550" s="78"/>
      <c r="Z550" s="79"/>
      <c r="AA550" s="69"/>
      <c r="AB550" s="68"/>
      <c r="AC550" s="68"/>
      <c r="AD550" s="68"/>
      <c r="AE550" s="80"/>
      <c r="AF550" s="80"/>
      <c r="AG550" s="80"/>
      <c r="AH550" s="80"/>
      <c r="AI550" s="81" t="s">
        <v>511</v>
      </c>
      <c r="AJ550" s="81" t="s">
        <v>509</v>
      </c>
      <c r="AK550" s="81">
        <v>2005</v>
      </c>
      <c r="AL550" s="81" t="s">
        <v>510</v>
      </c>
      <c r="AM550" s="81"/>
    </row>
    <row r="551" spans="1:39" s="82" customFormat="1" x14ac:dyDescent="0.3">
      <c r="A551" s="67">
        <v>42</v>
      </c>
      <c r="B551" s="68"/>
      <c r="C551" s="68"/>
      <c r="D551" s="68">
        <v>1</v>
      </c>
      <c r="E551" s="68">
        <v>40</v>
      </c>
      <c r="F551" s="68">
        <v>0</v>
      </c>
      <c r="G551" s="69"/>
      <c r="H551" s="68"/>
      <c r="I551" s="69"/>
      <c r="J551" s="69"/>
      <c r="K551" s="70">
        <v>1</v>
      </c>
      <c r="L551" s="68">
        <v>120</v>
      </c>
      <c r="M551" s="71">
        <v>40</v>
      </c>
      <c r="N551" s="72"/>
      <c r="O551" s="84"/>
      <c r="P551" s="73"/>
      <c r="Q551" s="84"/>
      <c r="R551" s="74"/>
      <c r="S551" s="74"/>
      <c r="T551" s="75"/>
      <c r="U551" s="75"/>
      <c r="V551" s="76"/>
      <c r="W551" s="76"/>
      <c r="X551" s="77"/>
      <c r="Y551" s="78"/>
      <c r="Z551" s="79"/>
      <c r="AA551" s="69"/>
      <c r="AB551" s="68"/>
      <c r="AC551" s="68"/>
      <c r="AD551" s="68"/>
      <c r="AE551" s="80"/>
      <c r="AF551" s="80"/>
      <c r="AG551" s="80"/>
      <c r="AH551" s="80"/>
      <c r="AI551" s="81" t="s">
        <v>511</v>
      </c>
      <c r="AJ551" s="81" t="s">
        <v>509</v>
      </c>
      <c r="AK551" s="81">
        <v>2005</v>
      </c>
      <c r="AL551" s="81" t="s">
        <v>510</v>
      </c>
      <c r="AM551" s="81"/>
    </row>
    <row r="552" spans="1:39" s="82" customFormat="1" x14ac:dyDescent="0.3">
      <c r="A552" s="67">
        <v>42</v>
      </c>
      <c r="B552" s="68">
        <v>42</v>
      </c>
      <c r="C552" s="68"/>
      <c r="D552" s="68">
        <v>2</v>
      </c>
      <c r="E552" s="68">
        <v>40</v>
      </c>
      <c r="F552" s="68">
        <v>0</v>
      </c>
      <c r="G552" s="69"/>
      <c r="H552" s="68"/>
      <c r="I552" s="69"/>
      <c r="J552" s="69"/>
      <c r="K552" s="70">
        <v>1</v>
      </c>
      <c r="L552" s="68">
        <v>180</v>
      </c>
      <c r="M552" s="71"/>
      <c r="N552" s="72">
        <v>6</v>
      </c>
      <c r="O552" s="84"/>
      <c r="P552" s="73"/>
      <c r="Q552" s="84"/>
      <c r="R552" s="74"/>
      <c r="S552" s="74"/>
      <c r="T552" s="75"/>
      <c r="U552" s="75"/>
      <c r="V552" s="76"/>
      <c r="W552" s="76"/>
      <c r="X552" s="77"/>
      <c r="Y552" s="78">
        <f>23/42</f>
        <v>0.54761904761904767</v>
      </c>
      <c r="Z552" s="79"/>
      <c r="AA552" s="69"/>
      <c r="AB552" s="68">
        <v>20.100000000000001</v>
      </c>
      <c r="AC552" s="68">
        <v>48.2</v>
      </c>
      <c r="AD552" s="68"/>
      <c r="AE552" s="80"/>
      <c r="AF552" s="80"/>
      <c r="AG552" s="80"/>
      <c r="AH552" s="80"/>
      <c r="AI552" s="81" t="s">
        <v>511</v>
      </c>
      <c r="AJ552" s="81" t="s">
        <v>509</v>
      </c>
      <c r="AK552" s="81">
        <v>2005</v>
      </c>
      <c r="AL552" s="81" t="s">
        <v>510</v>
      </c>
      <c r="AM552" s="81"/>
    </row>
    <row r="553" spans="1:39" s="82" customFormat="1" x14ac:dyDescent="0.3">
      <c r="A553" s="67">
        <v>48</v>
      </c>
      <c r="B553" s="68">
        <v>48</v>
      </c>
      <c r="C553" s="68"/>
      <c r="D553" s="68">
        <v>0</v>
      </c>
      <c r="E553" s="68"/>
      <c r="F553" s="68">
        <v>0</v>
      </c>
      <c r="G553" s="69"/>
      <c r="H553" s="68"/>
      <c r="I553" s="69"/>
      <c r="J553" s="69"/>
      <c r="K553" s="70">
        <v>2</v>
      </c>
      <c r="L553" s="68">
        <v>60</v>
      </c>
      <c r="M553" s="71"/>
      <c r="N553" s="72">
        <v>5</v>
      </c>
      <c r="O553" s="84"/>
      <c r="P553" s="73"/>
      <c r="Q553" s="84"/>
      <c r="R553" s="74"/>
      <c r="S553" s="74"/>
      <c r="T553" s="75"/>
      <c r="U553" s="75"/>
      <c r="V553" s="76"/>
      <c r="W553" s="76"/>
      <c r="X553" s="77"/>
      <c r="Y553" s="78">
        <f>42/48</f>
        <v>0.875</v>
      </c>
      <c r="Z553" s="79"/>
      <c r="AA553" s="69"/>
      <c r="AB553" s="68">
        <v>23.3</v>
      </c>
      <c r="AC553" s="68">
        <v>43.6</v>
      </c>
      <c r="AD553" s="68"/>
      <c r="AE553" s="80"/>
      <c r="AF553" s="80"/>
      <c r="AG553" s="80"/>
      <c r="AH553" s="80"/>
      <c r="AI553" s="81" t="s">
        <v>512</v>
      </c>
      <c r="AJ553" s="81" t="s">
        <v>509</v>
      </c>
      <c r="AK553" s="81">
        <v>2005</v>
      </c>
      <c r="AL553" s="81" t="s">
        <v>510</v>
      </c>
      <c r="AM553" s="81"/>
    </row>
    <row r="554" spans="1:39" s="82" customFormat="1" x14ac:dyDescent="0.3">
      <c r="A554" s="67">
        <v>48</v>
      </c>
      <c r="B554" s="68"/>
      <c r="C554" s="68"/>
      <c r="D554" s="68">
        <v>0</v>
      </c>
      <c r="E554" s="68"/>
      <c r="F554" s="68">
        <v>1</v>
      </c>
      <c r="G554" s="69">
        <v>5</v>
      </c>
      <c r="H554" s="68"/>
      <c r="I554" s="69"/>
      <c r="J554" s="69"/>
      <c r="K554" s="70">
        <v>2</v>
      </c>
      <c r="L554" s="68">
        <v>120</v>
      </c>
      <c r="M554" s="71"/>
      <c r="N554" s="72">
        <v>5</v>
      </c>
      <c r="O554" s="84"/>
      <c r="P554" s="73"/>
      <c r="Q554" s="84"/>
      <c r="R554" s="74"/>
      <c r="S554" s="74"/>
      <c r="T554" s="75"/>
      <c r="U554" s="75"/>
      <c r="V554" s="76"/>
      <c r="W554" s="76"/>
      <c r="X554" s="77"/>
      <c r="Y554" s="78"/>
      <c r="Z554" s="79"/>
      <c r="AA554" s="69"/>
      <c r="AB554" s="68"/>
      <c r="AC554" s="68"/>
      <c r="AD554" s="68"/>
      <c r="AE554" s="80"/>
      <c r="AF554" s="80"/>
      <c r="AG554" s="80"/>
      <c r="AH554" s="80"/>
      <c r="AI554" s="81" t="s">
        <v>512</v>
      </c>
      <c r="AJ554" s="81" t="s">
        <v>509</v>
      </c>
      <c r="AK554" s="81">
        <v>2005</v>
      </c>
      <c r="AL554" s="81" t="s">
        <v>510</v>
      </c>
      <c r="AM554" s="81"/>
    </row>
    <row r="555" spans="1:39" s="82" customFormat="1" x14ac:dyDescent="0.3">
      <c r="A555" s="67">
        <v>48</v>
      </c>
      <c r="B555" s="68">
        <v>41</v>
      </c>
      <c r="C555" s="68"/>
      <c r="D555" s="68">
        <v>0</v>
      </c>
      <c r="E555" s="68"/>
      <c r="F555" s="68">
        <v>2</v>
      </c>
      <c r="G555" s="69">
        <v>5</v>
      </c>
      <c r="H555" s="68"/>
      <c r="I555" s="69"/>
      <c r="J555" s="69"/>
      <c r="K555" s="70">
        <v>2</v>
      </c>
      <c r="L555" s="68">
        <v>180</v>
      </c>
      <c r="M555" s="71"/>
      <c r="N555" s="72">
        <v>5</v>
      </c>
      <c r="O555" s="84"/>
      <c r="P555" s="73"/>
      <c r="Q555" s="84"/>
      <c r="R555" s="74"/>
      <c r="S555" s="74"/>
      <c r="T555" s="75"/>
      <c r="U555" s="75"/>
      <c r="V555" s="76"/>
      <c r="W555" s="76"/>
      <c r="X555" s="77"/>
      <c r="Y555" s="78">
        <f>4/41</f>
        <v>9.7560975609756101E-2</v>
      </c>
      <c r="Z555" s="79"/>
      <c r="AA555" s="69"/>
      <c r="AB555" s="68">
        <v>14</v>
      </c>
      <c r="AC555" s="68">
        <v>8</v>
      </c>
      <c r="AD555" s="68"/>
      <c r="AE555" s="80"/>
      <c r="AF555" s="80"/>
      <c r="AG555" s="80"/>
      <c r="AH555" s="80"/>
      <c r="AI555" s="81" t="s">
        <v>512</v>
      </c>
      <c r="AJ555" s="81" t="s">
        <v>509</v>
      </c>
      <c r="AK555" s="81">
        <v>2005</v>
      </c>
      <c r="AL555" s="81" t="s">
        <v>510</v>
      </c>
      <c r="AM555" s="81"/>
    </row>
    <row r="556" spans="1:39" s="82" customFormat="1" x14ac:dyDescent="0.3">
      <c r="A556" s="67">
        <v>42</v>
      </c>
      <c r="B556" s="68"/>
      <c r="C556" s="68"/>
      <c r="D556" s="68">
        <v>0</v>
      </c>
      <c r="E556" s="68"/>
      <c r="F556" s="68">
        <v>0</v>
      </c>
      <c r="G556" s="69"/>
      <c r="H556" s="68"/>
      <c r="I556" s="69"/>
      <c r="J556" s="69"/>
      <c r="K556" s="70">
        <v>2</v>
      </c>
      <c r="L556" s="68">
        <v>60</v>
      </c>
      <c r="M556" s="71">
        <v>8</v>
      </c>
      <c r="N556" s="72"/>
      <c r="O556" s="84"/>
      <c r="P556" s="73"/>
      <c r="Q556" s="84"/>
      <c r="R556" s="74"/>
      <c r="S556" s="74"/>
      <c r="T556" s="75"/>
      <c r="U556" s="75"/>
      <c r="V556" s="76"/>
      <c r="W556" s="76"/>
      <c r="X556" s="77"/>
      <c r="Y556" s="78"/>
      <c r="Z556" s="79"/>
      <c r="AA556" s="69"/>
      <c r="AB556" s="68"/>
      <c r="AC556" s="68"/>
      <c r="AD556" s="68"/>
      <c r="AE556" s="80"/>
      <c r="AF556" s="80"/>
      <c r="AG556" s="80"/>
      <c r="AH556" s="80"/>
      <c r="AI556" s="81" t="s">
        <v>511</v>
      </c>
      <c r="AJ556" s="81" t="s">
        <v>509</v>
      </c>
      <c r="AK556" s="81">
        <v>2005</v>
      </c>
      <c r="AL556" s="81" t="s">
        <v>510</v>
      </c>
      <c r="AM556" s="81"/>
    </row>
    <row r="557" spans="1:39" s="82" customFormat="1" x14ac:dyDescent="0.3">
      <c r="A557" s="67">
        <v>42</v>
      </c>
      <c r="B557" s="68"/>
      <c r="C557" s="68"/>
      <c r="D557" s="68">
        <v>1</v>
      </c>
      <c r="E557" s="68">
        <v>8</v>
      </c>
      <c r="F557" s="68">
        <v>0</v>
      </c>
      <c r="G557" s="69"/>
      <c r="H557" s="68"/>
      <c r="I557" s="69"/>
      <c r="J557" s="69"/>
      <c r="K557" s="70">
        <v>2</v>
      </c>
      <c r="L557" s="68">
        <v>120</v>
      </c>
      <c r="M557" s="71">
        <v>8</v>
      </c>
      <c r="N557" s="72"/>
      <c r="O557" s="84"/>
      <c r="P557" s="73"/>
      <c r="Q557" s="84"/>
      <c r="R557" s="74"/>
      <c r="S557" s="74"/>
      <c r="T557" s="75"/>
      <c r="U557" s="75"/>
      <c r="V557" s="76"/>
      <c r="W557" s="76"/>
      <c r="X557" s="77"/>
      <c r="Y557" s="78"/>
      <c r="Z557" s="79"/>
      <c r="AA557" s="69"/>
      <c r="AB557" s="68"/>
      <c r="AC557" s="68"/>
      <c r="AD557" s="68"/>
      <c r="AE557" s="80"/>
      <c r="AF557" s="80"/>
      <c r="AG557" s="80"/>
      <c r="AH557" s="80"/>
      <c r="AI557" s="81" t="s">
        <v>511</v>
      </c>
      <c r="AJ557" s="81" t="s">
        <v>509</v>
      </c>
      <c r="AK557" s="81">
        <v>2005</v>
      </c>
      <c r="AL557" s="81" t="s">
        <v>510</v>
      </c>
      <c r="AM557" s="81"/>
    </row>
    <row r="558" spans="1:39" s="82" customFormat="1" x14ac:dyDescent="0.3">
      <c r="A558" s="67">
        <v>42</v>
      </c>
      <c r="B558" s="68">
        <v>42</v>
      </c>
      <c r="C558" s="68"/>
      <c r="D558" s="68">
        <v>2</v>
      </c>
      <c r="E558" s="68">
        <v>8</v>
      </c>
      <c r="F558" s="68">
        <v>0</v>
      </c>
      <c r="G558" s="69"/>
      <c r="H558" s="68"/>
      <c r="I558" s="69"/>
      <c r="J558" s="69"/>
      <c r="K558" s="70">
        <v>2</v>
      </c>
      <c r="L558" s="68">
        <v>180</v>
      </c>
      <c r="M558" s="71"/>
      <c r="N558" s="72">
        <v>5</v>
      </c>
      <c r="O558" s="84"/>
      <c r="P558" s="73"/>
      <c r="Q558" s="84"/>
      <c r="R558" s="74"/>
      <c r="S558" s="74"/>
      <c r="T558" s="75"/>
      <c r="U558" s="75"/>
      <c r="V558" s="76"/>
      <c r="W558" s="76"/>
      <c r="X558" s="77"/>
      <c r="Y558" s="78">
        <f>32/42</f>
        <v>0.76190476190476186</v>
      </c>
      <c r="Z558" s="79"/>
      <c r="AA558" s="69"/>
      <c r="AB558" s="68">
        <v>18.399999999999999</v>
      </c>
      <c r="AC558" s="68">
        <v>42.1</v>
      </c>
      <c r="AD558" s="68"/>
      <c r="AE558" s="80"/>
      <c r="AF558" s="80"/>
      <c r="AG558" s="80"/>
      <c r="AH558" s="80"/>
      <c r="AI558" s="81" t="s">
        <v>511</v>
      </c>
      <c r="AJ558" s="81" t="s">
        <v>509</v>
      </c>
      <c r="AK558" s="81">
        <v>2005</v>
      </c>
      <c r="AL558" s="81" t="s">
        <v>510</v>
      </c>
      <c r="AM558" s="81"/>
    </row>
    <row r="559" spans="1:39" s="82" customFormat="1" x14ac:dyDescent="0.3">
      <c r="A559" s="67">
        <v>48</v>
      </c>
      <c r="B559" s="68">
        <v>48</v>
      </c>
      <c r="C559" s="68"/>
      <c r="D559" s="68">
        <v>0</v>
      </c>
      <c r="E559" s="68"/>
      <c r="F559" s="68">
        <v>0</v>
      </c>
      <c r="G559" s="69"/>
      <c r="H559" s="68"/>
      <c r="I559" s="69"/>
      <c r="J559" s="69"/>
      <c r="K559" s="70">
        <v>3</v>
      </c>
      <c r="L559" s="68">
        <v>60</v>
      </c>
      <c r="M559" s="71"/>
      <c r="N559" s="72">
        <v>5.8</v>
      </c>
      <c r="O559" s="84"/>
      <c r="P559" s="73"/>
      <c r="Q559" s="84"/>
      <c r="R559" s="74"/>
      <c r="S559" s="74"/>
      <c r="T559" s="75"/>
      <c r="U559" s="75"/>
      <c r="V559" s="76"/>
      <c r="W559" s="76"/>
      <c r="X559" s="77"/>
      <c r="Y559" s="78">
        <f>28/48</f>
        <v>0.58333333333333337</v>
      </c>
      <c r="Z559" s="79"/>
      <c r="AA559" s="69"/>
      <c r="AB559" s="68">
        <v>25.5</v>
      </c>
      <c r="AC559" s="68">
        <v>28.8</v>
      </c>
      <c r="AD559" s="68"/>
      <c r="AE559" s="80"/>
      <c r="AF559" s="80"/>
      <c r="AG559" s="80"/>
      <c r="AH559" s="80"/>
      <c r="AI559" s="81" t="s">
        <v>512</v>
      </c>
      <c r="AJ559" s="81" t="s">
        <v>509</v>
      </c>
      <c r="AK559" s="81">
        <v>2005</v>
      </c>
      <c r="AL559" s="81" t="s">
        <v>510</v>
      </c>
      <c r="AM559" s="81"/>
    </row>
    <row r="560" spans="1:39" s="82" customFormat="1" x14ac:dyDescent="0.3">
      <c r="A560" s="67">
        <v>48</v>
      </c>
      <c r="B560" s="68"/>
      <c r="C560" s="68"/>
      <c r="D560" s="68">
        <v>0</v>
      </c>
      <c r="E560" s="68"/>
      <c r="F560" s="68">
        <v>1</v>
      </c>
      <c r="G560" s="69">
        <v>5.8</v>
      </c>
      <c r="H560" s="68"/>
      <c r="I560" s="69"/>
      <c r="J560" s="69"/>
      <c r="K560" s="70">
        <v>3</v>
      </c>
      <c r="L560" s="68">
        <v>120</v>
      </c>
      <c r="M560" s="71"/>
      <c r="N560" s="72">
        <v>5.8</v>
      </c>
      <c r="O560" s="84"/>
      <c r="P560" s="73"/>
      <c r="Q560" s="84"/>
      <c r="R560" s="74"/>
      <c r="S560" s="74"/>
      <c r="T560" s="75"/>
      <c r="U560" s="75"/>
      <c r="V560" s="76"/>
      <c r="W560" s="76"/>
      <c r="X560" s="77"/>
      <c r="Y560" s="78"/>
      <c r="Z560" s="79"/>
      <c r="AA560" s="69"/>
      <c r="AB560" s="68"/>
      <c r="AC560" s="68"/>
      <c r="AD560" s="68"/>
      <c r="AE560" s="80"/>
      <c r="AF560" s="80"/>
      <c r="AG560" s="80"/>
      <c r="AH560" s="80"/>
      <c r="AI560" s="81" t="s">
        <v>512</v>
      </c>
      <c r="AJ560" s="81" t="s">
        <v>509</v>
      </c>
      <c r="AK560" s="81">
        <v>2005</v>
      </c>
      <c r="AL560" s="81" t="s">
        <v>510</v>
      </c>
      <c r="AM560" s="81"/>
    </row>
    <row r="561" spans="1:39" s="82" customFormat="1" x14ac:dyDescent="0.3">
      <c r="A561" s="67">
        <v>48</v>
      </c>
      <c r="B561" s="68">
        <v>41</v>
      </c>
      <c r="C561" s="68"/>
      <c r="D561" s="68">
        <v>0</v>
      </c>
      <c r="E561" s="68"/>
      <c r="F561" s="68">
        <v>2</v>
      </c>
      <c r="G561" s="69">
        <v>5.8</v>
      </c>
      <c r="H561" s="68"/>
      <c r="I561" s="69"/>
      <c r="J561" s="69"/>
      <c r="K561" s="70">
        <v>3</v>
      </c>
      <c r="L561" s="68">
        <v>180</v>
      </c>
      <c r="M561" s="71"/>
      <c r="N561" s="72">
        <v>5.8</v>
      </c>
      <c r="O561" s="84"/>
      <c r="P561" s="73"/>
      <c r="Q561" s="84"/>
      <c r="R561" s="74"/>
      <c r="S561" s="74"/>
      <c r="T561" s="75"/>
      <c r="U561" s="75"/>
      <c r="V561" s="76"/>
      <c r="W561" s="76"/>
      <c r="X561" s="77"/>
      <c r="Y561" s="78">
        <f>7/41</f>
        <v>0.17073170731707318</v>
      </c>
      <c r="Z561" s="79"/>
      <c r="AA561" s="69"/>
      <c r="AB561" s="68">
        <v>18</v>
      </c>
      <c r="AC561" s="68">
        <v>40</v>
      </c>
      <c r="AD561" s="68"/>
      <c r="AE561" s="80"/>
      <c r="AF561" s="80"/>
      <c r="AG561" s="80"/>
      <c r="AH561" s="80"/>
      <c r="AI561" s="81" t="s">
        <v>512</v>
      </c>
      <c r="AJ561" s="81" t="s">
        <v>509</v>
      </c>
      <c r="AK561" s="81">
        <v>2005</v>
      </c>
      <c r="AL561" s="81" t="s">
        <v>510</v>
      </c>
      <c r="AM561" s="81"/>
    </row>
    <row r="562" spans="1:39" s="82" customFormat="1" x14ac:dyDescent="0.3">
      <c r="A562" s="67">
        <v>42</v>
      </c>
      <c r="B562" s="68"/>
      <c r="C562" s="68"/>
      <c r="D562" s="68">
        <v>0</v>
      </c>
      <c r="E562" s="68"/>
      <c r="F562" s="68">
        <v>0</v>
      </c>
      <c r="G562" s="69"/>
      <c r="H562" s="68"/>
      <c r="I562" s="69"/>
      <c r="J562" s="69"/>
      <c r="K562" s="70">
        <v>3</v>
      </c>
      <c r="L562" s="68">
        <v>60</v>
      </c>
      <c r="M562" s="71">
        <v>32</v>
      </c>
      <c r="N562" s="72"/>
      <c r="O562" s="84"/>
      <c r="P562" s="73"/>
      <c r="Q562" s="84"/>
      <c r="R562" s="74"/>
      <c r="S562" s="74"/>
      <c r="T562" s="75"/>
      <c r="U562" s="75"/>
      <c r="V562" s="76"/>
      <c r="W562" s="76"/>
      <c r="X562" s="77"/>
      <c r="Y562" s="78"/>
      <c r="Z562" s="79"/>
      <c r="AA562" s="69"/>
      <c r="AB562" s="68"/>
      <c r="AC562" s="68"/>
      <c r="AD562" s="68"/>
      <c r="AE562" s="80"/>
      <c r="AF562" s="80"/>
      <c r="AG562" s="80"/>
      <c r="AH562" s="80"/>
      <c r="AI562" s="81" t="s">
        <v>511</v>
      </c>
      <c r="AJ562" s="81" t="s">
        <v>509</v>
      </c>
      <c r="AK562" s="81">
        <v>2005</v>
      </c>
      <c r="AL562" s="81" t="s">
        <v>510</v>
      </c>
      <c r="AM562" s="81"/>
    </row>
    <row r="563" spans="1:39" s="82" customFormat="1" x14ac:dyDescent="0.3">
      <c r="A563" s="67">
        <v>42</v>
      </c>
      <c r="B563" s="68"/>
      <c r="C563" s="68"/>
      <c r="D563" s="68">
        <v>1</v>
      </c>
      <c r="E563" s="68">
        <v>32</v>
      </c>
      <c r="F563" s="68">
        <v>0</v>
      </c>
      <c r="G563" s="69"/>
      <c r="H563" s="68"/>
      <c r="I563" s="69"/>
      <c r="J563" s="69"/>
      <c r="K563" s="70">
        <v>3</v>
      </c>
      <c r="L563" s="68">
        <v>120</v>
      </c>
      <c r="M563" s="71">
        <v>32</v>
      </c>
      <c r="N563" s="72"/>
      <c r="O563" s="84"/>
      <c r="P563" s="73"/>
      <c r="Q563" s="84"/>
      <c r="R563" s="74"/>
      <c r="S563" s="74"/>
      <c r="T563" s="75"/>
      <c r="U563" s="75"/>
      <c r="V563" s="76"/>
      <c r="W563" s="76"/>
      <c r="X563" s="77"/>
      <c r="Y563" s="78"/>
      <c r="Z563" s="79"/>
      <c r="AA563" s="69"/>
      <c r="AB563" s="68"/>
      <c r="AC563" s="68"/>
      <c r="AD563" s="68"/>
      <c r="AE563" s="80"/>
      <c r="AF563" s="80"/>
      <c r="AG563" s="80"/>
      <c r="AH563" s="80"/>
      <c r="AI563" s="81" t="s">
        <v>511</v>
      </c>
      <c r="AJ563" s="81" t="s">
        <v>509</v>
      </c>
      <c r="AK563" s="81">
        <v>2005</v>
      </c>
      <c r="AL563" s="81" t="s">
        <v>510</v>
      </c>
      <c r="AM563" s="81"/>
    </row>
    <row r="564" spans="1:39" s="82" customFormat="1" x14ac:dyDescent="0.3">
      <c r="A564" s="67">
        <v>42</v>
      </c>
      <c r="B564" s="68">
        <v>42</v>
      </c>
      <c r="C564" s="68"/>
      <c r="D564" s="68">
        <v>2</v>
      </c>
      <c r="E564" s="68">
        <v>32</v>
      </c>
      <c r="F564" s="68">
        <v>0</v>
      </c>
      <c r="G564" s="69"/>
      <c r="H564" s="68"/>
      <c r="I564" s="69"/>
      <c r="J564" s="69"/>
      <c r="K564" s="70">
        <v>3</v>
      </c>
      <c r="L564" s="68">
        <v>180</v>
      </c>
      <c r="M564" s="71"/>
      <c r="N564" s="72">
        <v>5.8</v>
      </c>
      <c r="O564" s="84"/>
      <c r="P564" s="73"/>
      <c r="Q564" s="84"/>
      <c r="R564" s="74"/>
      <c r="S564" s="74"/>
      <c r="T564" s="75"/>
      <c r="U564" s="75"/>
      <c r="V564" s="76"/>
      <c r="W564" s="76"/>
      <c r="X564" s="77"/>
      <c r="Y564" s="78">
        <f>21/42</f>
        <v>0.5</v>
      </c>
      <c r="Z564" s="79"/>
      <c r="AA564" s="69"/>
      <c r="AB564" s="68">
        <v>19.3</v>
      </c>
      <c r="AC564" s="68">
        <v>46.2</v>
      </c>
      <c r="AD564" s="68"/>
      <c r="AE564" s="80"/>
      <c r="AF564" s="80"/>
      <c r="AG564" s="80"/>
      <c r="AH564" s="80"/>
      <c r="AI564" s="81" t="s">
        <v>511</v>
      </c>
      <c r="AJ564" s="81" t="s">
        <v>509</v>
      </c>
      <c r="AK564" s="81">
        <v>2005</v>
      </c>
      <c r="AL564" s="81" t="s">
        <v>510</v>
      </c>
      <c r="AM564" s="81"/>
    </row>
    <row r="565" spans="1:39" s="82" customFormat="1" x14ac:dyDescent="0.3">
      <c r="A565" s="67">
        <v>133</v>
      </c>
      <c r="B565" s="68"/>
      <c r="C565" s="68"/>
      <c r="D565" s="68">
        <v>0</v>
      </c>
      <c r="E565" s="68"/>
      <c r="F565" s="68">
        <v>0</v>
      </c>
      <c r="G565" s="69"/>
      <c r="H565" s="68"/>
      <c r="I565" s="69"/>
      <c r="J565" s="69"/>
      <c r="K565" s="70">
        <v>1</v>
      </c>
      <c r="L565" s="68">
        <f>11*365 - 42</f>
        <v>3973</v>
      </c>
      <c r="M565" s="71"/>
      <c r="N565" s="72">
        <v>5.5</v>
      </c>
      <c r="O565" s="84"/>
      <c r="P565" s="73"/>
      <c r="Q565" s="84">
        <v>0</v>
      </c>
      <c r="R565" s="74"/>
      <c r="S565" s="74"/>
      <c r="T565" s="75">
        <v>9.1999999999999993</v>
      </c>
      <c r="U565" s="75">
        <v>2.2999999999999998</v>
      </c>
      <c r="V565" s="76"/>
      <c r="W565" s="76"/>
      <c r="X565" s="77">
        <v>4099</v>
      </c>
      <c r="Y565" s="78"/>
      <c r="Z565" s="79"/>
      <c r="AA565" s="69"/>
      <c r="AB565" s="68"/>
      <c r="AC565" s="68"/>
      <c r="AD565" s="68"/>
      <c r="AE565" s="80"/>
      <c r="AF565" s="80"/>
      <c r="AG565" s="80"/>
      <c r="AH565" s="80"/>
      <c r="AI565" s="81" t="s">
        <v>474</v>
      </c>
      <c r="AJ565" s="81" t="s">
        <v>472</v>
      </c>
      <c r="AK565" s="81">
        <v>1967</v>
      </c>
      <c r="AL565" s="81" t="s">
        <v>473</v>
      </c>
      <c r="AM565" s="81"/>
    </row>
    <row r="566" spans="1:39" s="82" customFormat="1" x14ac:dyDescent="0.3">
      <c r="A566" s="67">
        <v>133</v>
      </c>
      <c r="B566" s="68"/>
      <c r="C566" s="68"/>
      <c r="D566" s="68">
        <v>0</v>
      </c>
      <c r="E566" s="68"/>
      <c r="F566" s="68">
        <v>1</v>
      </c>
      <c r="G566" s="69"/>
      <c r="H566" s="68"/>
      <c r="I566" s="69"/>
      <c r="J566" s="69"/>
      <c r="K566" s="70">
        <v>1</v>
      </c>
      <c r="L566" s="68">
        <v>4099</v>
      </c>
      <c r="M566" s="71"/>
      <c r="N566" s="72"/>
      <c r="O566" s="84">
        <v>4099</v>
      </c>
      <c r="P566" s="73"/>
      <c r="Q566" s="84">
        <v>0</v>
      </c>
      <c r="R566" s="74">
        <v>9.1999999999999993</v>
      </c>
      <c r="S566" s="74">
        <v>2.2999999999999998</v>
      </c>
      <c r="T566" s="75">
        <v>7.8</v>
      </c>
      <c r="U566" s="75">
        <v>3.1</v>
      </c>
      <c r="V566" s="76"/>
      <c r="W566" s="76"/>
      <c r="X566" s="77">
        <v>4555</v>
      </c>
      <c r="Y566" s="78"/>
      <c r="Z566" s="79"/>
      <c r="AA566" s="69"/>
      <c r="AB566" s="68"/>
      <c r="AC566" s="68"/>
      <c r="AD566" s="68"/>
      <c r="AE566" s="80"/>
      <c r="AF566" s="80"/>
      <c r="AG566" s="80"/>
      <c r="AH566" s="80"/>
      <c r="AI566" s="81" t="s">
        <v>474</v>
      </c>
      <c r="AJ566" s="81" t="s">
        <v>472</v>
      </c>
      <c r="AK566" s="81">
        <v>1967</v>
      </c>
      <c r="AL566" s="81" t="s">
        <v>473</v>
      </c>
      <c r="AM566" s="81"/>
    </row>
    <row r="567" spans="1:39" s="82" customFormat="1" x14ac:dyDescent="0.3">
      <c r="A567" s="67">
        <v>133</v>
      </c>
      <c r="B567" s="68"/>
      <c r="C567" s="68"/>
      <c r="D567" s="68">
        <v>0</v>
      </c>
      <c r="E567" s="68"/>
      <c r="F567" s="68">
        <v>0</v>
      </c>
      <c r="G567" s="69"/>
      <c r="H567" s="68"/>
      <c r="I567" s="69"/>
      <c r="J567" s="69"/>
      <c r="K567" s="70">
        <v>2</v>
      </c>
      <c r="L567" s="68">
        <f>11*365</f>
        <v>4015</v>
      </c>
      <c r="M567" s="71"/>
      <c r="N567" s="72">
        <v>5.5</v>
      </c>
      <c r="O567" s="84"/>
      <c r="P567" s="73"/>
      <c r="Q567" s="84">
        <v>0</v>
      </c>
      <c r="R567" s="74"/>
      <c r="S567" s="74"/>
      <c r="T567" s="75">
        <v>9.6</v>
      </c>
      <c r="U567" s="75">
        <v>2.6</v>
      </c>
      <c r="V567" s="76"/>
      <c r="W567" s="76"/>
      <c r="X567" s="77">
        <v>4099</v>
      </c>
      <c r="Y567" s="78"/>
      <c r="Z567" s="79"/>
      <c r="AA567" s="69"/>
      <c r="AB567" s="68"/>
      <c r="AC567" s="68"/>
      <c r="AD567" s="68"/>
      <c r="AE567" s="80"/>
      <c r="AF567" s="80"/>
      <c r="AG567" s="80"/>
      <c r="AH567" s="80"/>
      <c r="AI567" s="81" t="s">
        <v>474</v>
      </c>
      <c r="AJ567" s="81" t="s">
        <v>472</v>
      </c>
      <c r="AK567" s="81">
        <v>1967</v>
      </c>
      <c r="AL567" s="81" t="s">
        <v>473</v>
      </c>
      <c r="AM567" s="81"/>
    </row>
    <row r="568" spans="1:39" s="82" customFormat="1" x14ac:dyDescent="0.3">
      <c r="A568" s="67">
        <v>133</v>
      </c>
      <c r="B568" s="68"/>
      <c r="C568" s="68"/>
      <c r="D568" s="68">
        <v>0</v>
      </c>
      <c r="E568" s="68"/>
      <c r="F568" s="68">
        <v>1</v>
      </c>
      <c r="G568" s="69"/>
      <c r="H568" s="68"/>
      <c r="I568" s="69"/>
      <c r="J568" s="69"/>
      <c r="K568" s="70">
        <v>2</v>
      </c>
      <c r="L568" s="68">
        <v>4099</v>
      </c>
      <c r="M568" s="71"/>
      <c r="N568" s="72"/>
      <c r="O568" s="84">
        <v>4099</v>
      </c>
      <c r="P568" s="73"/>
      <c r="Q568" s="84">
        <v>0</v>
      </c>
      <c r="R568" s="74">
        <v>9.6</v>
      </c>
      <c r="S568" s="74">
        <v>2.6</v>
      </c>
      <c r="T568" s="75">
        <v>7.3</v>
      </c>
      <c r="U568" s="75">
        <v>3.5</v>
      </c>
      <c r="V568" s="76"/>
      <c r="W568" s="76"/>
      <c r="X568" s="77">
        <v>4555</v>
      </c>
      <c r="Y568" s="78"/>
      <c r="Z568" s="79"/>
      <c r="AA568" s="69"/>
      <c r="AB568" s="68"/>
      <c r="AC568" s="68"/>
      <c r="AD568" s="68"/>
      <c r="AE568" s="80"/>
      <c r="AF568" s="80"/>
      <c r="AG568" s="80"/>
      <c r="AH568" s="80"/>
      <c r="AI568" s="81" t="s">
        <v>474</v>
      </c>
      <c r="AJ568" s="81" t="s">
        <v>472</v>
      </c>
      <c r="AK568" s="81">
        <v>1967</v>
      </c>
      <c r="AL568" s="81" t="s">
        <v>473</v>
      </c>
      <c r="AM568" s="81"/>
    </row>
    <row r="569" spans="1:39" s="82" customFormat="1" x14ac:dyDescent="0.3">
      <c r="A569" s="67">
        <v>133</v>
      </c>
      <c r="B569" s="68"/>
      <c r="C569" s="68"/>
      <c r="D569" s="68">
        <v>0</v>
      </c>
      <c r="E569" s="68"/>
      <c r="F569" s="68">
        <v>0</v>
      </c>
      <c r="G569" s="69"/>
      <c r="H569" s="68"/>
      <c r="I569" s="69"/>
      <c r="J569" s="69"/>
      <c r="K569" s="70">
        <v>3</v>
      </c>
      <c r="L569" s="68">
        <f>11*365 + 42</f>
        <v>4057</v>
      </c>
      <c r="M569" s="71"/>
      <c r="N569" s="72">
        <v>5.5</v>
      </c>
      <c r="O569" s="84"/>
      <c r="P569" s="73"/>
      <c r="Q569" s="84">
        <v>0</v>
      </c>
      <c r="R569" s="74"/>
      <c r="S569" s="74"/>
      <c r="T569" s="75">
        <v>7.7</v>
      </c>
      <c r="U569" s="75">
        <v>4.3</v>
      </c>
      <c r="V569" s="76"/>
      <c r="W569" s="76"/>
      <c r="X569" s="77">
        <v>4099</v>
      </c>
      <c r="Y569" s="78"/>
      <c r="Z569" s="79"/>
      <c r="AA569" s="69"/>
      <c r="AB569" s="68"/>
      <c r="AC569" s="68"/>
      <c r="AD569" s="68"/>
      <c r="AE569" s="80"/>
      <c r="AF569" s="80"/>
      <c r="AG569" s="80"/>
      <c r="AH569" s="80"/>
      <c r="AI569" s="81" t="s">
        <v>474</v>
      </c>
      <c r="AJ569" s="81" t="s">
        <v>472</v>
      </c>
      <c r="AK569" s="81">
        <v>1967</v>
      </c>
      <c r="AL569" s="81" t="s">
        <v>473</v>
      </c>
      <c r="AM569" s="81"/>
    </row>
    <row r="570" spans="1:39" s="82" customFormat="1" x14ac:dyDescent="0.3">
      <c r="A570" s="67">
        <v>133</v>
      </c>
      <c r="B570" s="68"/>
      <c r="C570" s="68"/>
      <c r="D570" s="68">
        <v>0</v>
      </c>
      <c r="E570" s="68"/>
      <c r="F570" s="68">
        <v>1</v>
      </c>
      <c r="G570" s="69"/>
      <c r="H570" s="68"/>
      <c r="I570" s="69"/>
      <c r="J570" s="69"/>
      <c r="K570" s="70">
        <v>3</v>
      </c>
      <c r="L570" s="68">
        <v>4099</v>
      </c>
      <c r="M570" s="71"/>
      <c r="N570" s="72"/>
      <c r="O570" s="84">
        <v>4099</v>
      </c>
      <c r="P570" s="73"/>
      <c r="Q570" s="84">
        <v>0</v>
      </c>
      <c r="R570" s="74">
        <v>7.7</v>
      </c>
      <c r="S570" s="74">
        <v>4.3</v>
      </c>
      <c r="T570" s="75">
        <v>5.4</v>
      </c>
      <c r="U570" s="75">
        <v>5.0999999999999996</v>
      </c>
      <c r="V570" s="76"/>
      <c r="W570" s="76"/>
      <c r="X570" s="77">
        <v>4555</v>
      </c>
      <c r="Y570" s="78"/>
      <c r="Z570" s="79"/>
      <c r="AA570" s="69"/>
      <c r="AB570" s="68"/>
      <c r="AC570" s="68"/>
      <c r="AD570" s="68"/>
      <c r="AE570" s="80"/>
      <c r="AF570" s="80"/>
      <c r="AG570" s="80"/>
      <c r="AH570" s="80"/>
      <c r="AI570" s="81" t="s">
        <v>474</v>
      </c>
      <c r="AJ570" s="81" t="s">
        <v>472</v>
      </c>
      <c r="AK570" s="81">
        <v>1967</v>
      </c>
      <c r="AL570" s="81" t="s">
        <v>473</v>
      </c>
      <c r="AM570" s="81"/>
    </row>
    <row r="571" spans="1:39" x14ac:dyDescent="0.3">
      <c r="A571" s="1">
        <v>55</v>
      </c>
      <c r="B571" s="68"/>
      <c r="D571" s="68">
        <v>2</v>
      </c>
      <c r="E571" s="2">
        <v>40</v>
      </c>
      <c r="F571" s="2">
        <v>0</v>
      </c>
      <c r="K571" s="4">
        <v>1</v>
      </c>
      <c r="L571" s="2">
        <v>180</v>
      </c>
      <c r="N571" s="6">
        <v>6</v>
      </c>
      <c r="O571" s="17">
        <v>180</v>
      </c>
      <c r="P571" s="7">
        <v>1</v>
      </c>
      <c r="Q571" s="84">
        <v>0</v>
      </c>
      <c r="R571" s="8">
        <v>7.36</v>
      </c>
      <c r="S571" s="8">
        <v>2.41</v>
      </c>
      <c r="T571" s="9">
        <v>7.58</v>
      </c>
      <c r="U571" s="9">
        <v>2.5299999999999998</v>
      </c>
      <c r="W571" s="10">
        <v>1</v>
      </c>
      <c r="X571" s="11">
        <v>540</v>
      </c>
      <c r="AI571" s="15" t="s">
        <v>62</v>
      </c>
      <c r="AJ571" s="15" t="s">
        <v>69</v>
      </c>
      <c r="AK571" s="15">
        <v>2001</v>
      </c>
      <c r="AL571" s="15" t="s">
        <v>70</v>
      </c>
    </row>
    <row r="572" spans="1:39" x14ac:dyDescent="0.3">
      <c r="A572" s="1">
        <v>55</v>
      </c>
      <c r="B572" s="2">
        <v>18</v>
      </c>
      <c r="D572" s="68">
        <v>2</v>
      </c>
      <c r="E572" s="2">
        <v>40</v>
      </c>
      <c r="F572" s="2">
        <v>1</v>
      </c>
      <c r="G572" s="3">
        <v>6</v>
      </c>
      <c r="K572" s="4">
        <v>1</v>
      </c>
      <c r="L572" s="2">
        <v>540</v>
      </c>
      <c r="N572" s="6">
        <v>6</v>
      </c>
      <c r="O572" s="17">
        <v>540</v>
      </c>
      <c r="P572" s="7">
        <v>1</v>
      </c>
      <c r="Q572" s="84">
        <v>0</v>
      </c>
      <c r="R572" s="8">
        <v>7.58</v>
      </c>
      <c r="S572" s="8">
        <v>2.5299999999999998</v>
      </c>
      <c r="T572" s="9">
        <v>8.9499999999999993</v>
      </c>
      <c r="U572" s="9">
        <v>2.09</v>
      </c>
      <c r="W572" s="10">
        <v>1</v>
      </c>
      <c r="X572" s="11">
        <v>570</v>
      </c>
      <c r="Y572" s="12">
        <v>0.44</v>
      </c>
      <c r="AI572" s="15" t="s">
        <v>62</v>
      </c>
      <c r="AJ572" s="15" t="s">
        <v>69</v>
      </c>
      <c r="AK572" s="15">
        <v>2001</v>
      </c>
      <c r="AL572" s="15" t="s">
        <v>70</v>
      </c>
    </row>
    <row r="573" spans="1:39" x14ac:dyDescent="0.3">
      <c r="A573" s="1">
        <v>55</v>
      </c>
      <c r="D573" s="68">
        <v>2</v>
      </c>
      <c r="E573" s="2">
        <v>8</v>
      </c>
      <c r="F573" s="2">
        <v>0</v>
      </c>
      <c r="K573" s="4">
        <v>2</v>
      </c>
      <c r="L573" s="2">
        <v>180</v>
      </c>
      <c r="N573" s="6">
        <v>5</v>
      </c>
      <c r="O573" s="84">
        <v>180</v>
      </c>
      <c r="P573" s="7">
        <v>1</v>
      </c>
      <c r="Q573" s="84">
        <v>0</v>
      </c>
      <c r="R573" s="8">
        <v>8.02</v>
      </c>
      <c r="S573" s="8">
        <v>2.4900000000000002</v>
      </c>
      <c r="T573" s="9">
        <v>8.6199999999999992</v>
      </c>
      <c r="U573" s="9">
        <v>1.4</v>
      </c>
      <c r="W573" s="10">
        <v>1</v>
      </c>
      <c r="X573" s="11">
        <v>540</v>
      </c>
      <c r="AI573" s="15" t="s">
        <v>62</v>
      </c>
      <c r="AJ573" s="15" t="s">
        <v>69</v>
      </c>
      <c r="AK573" s="15">
        <v>2001</v>
      </c>
      <c r="AL573" s="15" t="s">
        <v>70</v>
      </c>
    </row>
    <row r="574" spans="1:39" x14ac:dyDescent="0.3">
      <c r="A574" s="1">
        <v>55</v>
      </c>
      <c r="B574" s="68">
        <v>18</v>
      </c>
      <c r="D574" s="68">
        <v>2</v>
      </c>
      <c r="E574" s="2">
        <v>8</v>
      </c>
      <c r="F574" s="2">
        <v>1</v>
      </c>
      <c r="G574" s="3">
        <v>5</v>
      </c>
      <c r="K574" s="4">
        <v>2</v>
      </c>
      <c r="L574" s="2">
        <v>540</v>
      </c>
      <c r="N574" s="6">
        <v>5</v>
      </c>
      <c r="O574" s="84">
        <v>540</v>
      </c>
      <c r="P574" s="7">
        <v>1</v>
      </c>
      <c r="Q574" s="84">
        <v>0</v>
      </c>
      <c r="R574" s="8">
        <v>8.6199999999999992</v>
      </c>
      <c r="S574" s="8">
        <v>1.4</v>
      </c>
      <c r="T574" s="9">
        <v>9.5299999999999994</v>
      </c>
      <c r="U574" s="9">
        <v>0.72</v>
      </c>
      <c r="W574" s="10">
        <v>1</v>
      </c>
      <c r="X574" s="11">
        <v>570</v>
      </c>
      <c r="Y574" s="12">
        <v>0</v>
      </c>
      <c r="AI574" s="15" t="s">
        <v>62</v>
      </c>
      <c r="AJ574" s="15" t="s">
        <v>69</v>
      </c>
      <c r="AK574" s="15">
        <v>2001</v>
      </c>
      <c r="AL574" s="15" t="s">
        <v>70</v>
      </c>
    </row>
    <row r="575" spans="1:39" x14ac:dyDescent="0.3">
      <c r="A575" s="1">
        <v>55</v>
      </c>
      <c r="B575" s="68"/>
      <c r="D575" s="68">
        <v>2</v>
      </c>
      <c r="E575" s="2">
        <v>32</v>
      </c>
      <c r="F575" s="2">
        <v>0</v>
      </c>
      <c r="K575" s="4">
        <v>3</v>
      </c>
      <c r="L575" s="2">
        <v>180</v>
      </c>
      <c r="N575" s="6">
        <v>5.7</v>
      </c>
      <c r="O575" s="84">
        <v>180</v>
      </c>
      <c r="P575" s="7">
        <v>1</v>
      </c>
      <c r="Q575" s="84">
        <v>0</v>
      </c>
      <c r="R575" s="8">
        <v>8.0500000000000007</v>
      </c>
      <c r="S575" s="8">
        <v>3.65</v>
      </c>
      <c r="T575" s="9">
        <v>8.02</v>
      </c>
      <c r="U575" s="9">
        <v>2.4900000000000002</v>
      </c>
      <c r="W575" s="10">
        <v>1</v>
      </c>
      <c r="X575" s="11">
        <v>540</v>
      </c>
      <c r="AI575" s="15" t="s">
        <v>62</v>
      </c>
      <c r="AJ575" s="15" t="s">
        <v>69</v>
      </c>
      <c r="AK575" s="15">
        <v>2001</v>
      </c>
      <c r="AL575" s="15" t="s">
        <v>70</v>
      </c>
    </row>
    <row r="576" spans="1:39" x14ac:dyDescent="0.3">
      <c r="A576" s="1">
        <v>55</v>
      </c>
      <c r="B576" s="2">
        <v>18</v>
      </c>
      <c r="D576" s="2">
        <v>2</v>
      </c>
      <c r="E576" s="2">
        <v>32</v>
      </c>
      <c r="F576" s="2">
        <v>1</v>
      </c>
      <c r="G576" s="3">
        <v>5.7</v>
      </c>
      <c r="K576" s="4">
        <v>3</v>
      </c>
      <c r="L576" s="2">
        <v>540</v>
      </c>
      <c r="N576" s="6">
        <v>5.7</v>
      </c>
      <c r="O576" s="84">
        <v>540</v>
      </c>
      <c r="P576" s="7">
        <v>1</v>
      </c>
      <c r="Q576" s="84">
        <v>0</v>
      </c>
      <c r="R576" s="8">
        <v>8.02</v>
      </c>
      <c r="S576" s="8">
        <v>2.4900000000000002</v>
      </c>
      <c r="T576" s="9">
        <v>8.93</v>
      </c>
      <c r="U576" s="9">
        <v>1.81</v>
      </c>
      <c r="W576" s="10">
        <v>1</v>
      </c>
      <c r="X576" s="11">
        <v>570</v>
      </c>
      <c r="Y576" s="12">
        <v>0.11</v>
      </c>
      <c r="AI576" s="15" t="s">
        <v>62</v>
      </c>
      <c r="AJ576" s="15" t="s">
        <v>69</v>
      </c>
      <c r="AK576" s="15">
        <v>2001</v>
      </c>
      <c r="AL576" s="15" t="s">
        <v>70</v>
      </c>
    </row>
    <row r="577" spans="1:39" x14ac:dyDescent="0.3">
      <c r="A577" s="1">
        <v>108</v>
      </c>
      <c r="B577" s="67">
        <v>0</v>
      </c>
      <c r="D577" s="2">
        <v>0</v>
      </c>
      <c r="F577" s="2">
        <v>0</v>
      </c>
      <c r="K577" s="4">
        <v>1</v>
      </c>
      <c r="L577" s="2">
        <v>90</v>
      </c>
      <c r="N577" s="6">
        <v>6</v>
      </c>
      <c r="O577" s="84"/>
      <c r="W577" s="10">
        <f>0.55*0.69*181/108</f>
        <v>0.63601388888888888</v>
      </c>
      <c r="AF577" s="80" t="s">
        <v>359</v>
      </c>
      <c r="AI577" s="15" t="s">
        <v>360</v>
      </c>
      <c r="AJ577" s="15" t="s">
        <v>354</v>
      </c>
      <c r="AK577" s="15">
        <v>1997</v>
      </c>
      <c r="AL577" s="15" t="s">
        <v>355</v>
      </c>
    </row>
    <row r="578" spans="1:39" x14ac:dyDescent="0.3">
      <c r="A578" s="1">
        <v>116</v>
      </c>
      <c r="B578" s="67">
        <v>0</v>
      </c>
      <c r="D578" s="2">
        <v>0</v>
      </c>
      <c r="F578" s="2">
        <v>1</v>
      </c>
      <c r="G578" s="3">
        <v>6</v>
      </c>
      <c r="K578" s="4">
        <v>1</v>
      </c>
      <c r="L578" s="2">
        <v>150</v>
      </c>
      <c r="N578" s="6">
        <v>6</v>
      </c>
      <c r="O578" s="84"/>
      <c r="W578" s="10">
        <f>0.628*0.86*181/116</f>
        <v>0.84271103448275864</v>
      </c>
      <c r="AF578" s="80" t="s">
        <v>359</v>
      </c>
      <c r="AI578" s="15" t="s">
        <v>360</v>
      </c>
      <c r="AJ578" s="15" t="s">
        <v>354</v>
      </c>
      <c r="AK578" s="15">
        <v>1997</v>
      </c>
      <c r="AL578" s="15" t="s">
        <v>355</v>
      </c>
    </row>
    <row r="579" spans="1:39" x14ac:dyDescent="0.3">
      <c r="A579" s="1">
        <v>85</v>
      </c>
      <c r="D579" s="2">
        <v>0</v>
      </c>
      <c r="F579" s="2">
        <v>0</v>
      </c>
      <c r="K579" s="4">
        <v>1</v>
      </c>
      <c r="L579" s="2">
        <v>90</v>
      </c>
      <c r="N579" s="6">
        <v>6</v>
      </c>
      <c r="O579" s="84"/>
      <c r="T579" s="9">
        <v>6</v>
      </c>
      <c r="W579" s="10">
        <v>0.72</v>
      </c>
      <c r="X579" s="11">
        <v>150</v>
      </c>
      <c r="AI579" s="15" t="s">
        <v>356</v>
      </c>
      <c r="AJ579" s="15" t="s">
        <v>354</v>
      </c>
      <c r="AK579" s="15">
        <v>1997</v>
      </c>
      <c r="AL579" s="15" t="s">
        <v>355</v>
      </c>
    </row>
    <row r="580" spans="1:39" x14ac:dyDescent="0.3">
      <c r="A580" s="1">
        <v>85</v>
      </c>
      <c r="D580" s="2">
        <v>0</v>
      </c>
      <c r="F580" s="2">
        <v>1</v>
      </c>
      <c r="G580" s="3">
        <v>6</v>
      </c>
      <c r="K580" s="4">
        <v>1</v>
      </c>
      <c r="L580" s="2">
        <v>150</v>
      </c>
      <c r="N580" s="6">
        <v>6</v>
      </c>
      <c r="O580" s="84">
        <v>150</v>
      </c>
      <c r="P580" s="7">
        <v>0.72</v>
      </c>
      <c r="R580" s="8">
        <v>6</v>
      </c>
      <c r="T580" s="9">
        <v>6.9</v>
      </c>
      <c r="W580" s="10">
        <v>0.9</v>
      </c>
      <c r="X580" s="11">
        <v>210</v>
      </c>
      <c r="AI580" s="15" t="s">
        <v>356</v>
      </c>
      <c r="AJ580" s="15" t="s">
        <v>354</v>
      </c>
      <c r="AK580" s="15">
        <v>1997</v>
      </c>
      <c r="AL580" s="15" t="s">
        <v>355</v>
      </c>
    </row>
    <row r="581" spans="1:39" x14ac:dyDescent="0.3">
      <c r="A581" s="1">
        <v>73</v>
      </c>
      <c r="B581" s="67">
        <v>0</v>
      </c>
      <c r="D581" s="2">
        <v>0</v>
      </c>
      <c r="F581" s="2">
        <v>0</v>
      </c>
      <c r="K581" s="4">
        <v>1</v>
      </c>
      <c r="L581" s="2">
        <v>90</v>
      </c>
      <c r="N581" s="6">
        <v>6</v>
      </c>
      <c r="O581" s="84"/>
      <c r="W581" s="10">
        <f>(1-0.55)*0.69*181/73</f>
        <v>0.76986986301369853</v>
      </c>
      <c r="AI581" s="15" t="s">
        <v>361</v>
      </c>
      <c r="AJ581" s="15" t="s">
        <v>354</v>
      </c>
      <c r="AK581" s="15">
        <v>1997</v>
      </c>
      <c r="AL581" s="15" t="s">
        <v>355</v>
      </c>
    </row>
    <row r="582" spans="1:39" x14ac:dyDescent="0.3">
      <c r="A582" s="1">
        <v>65</v>
      </c>
      <c r="B582" s="67">
        <v>0</v>
      </c>
      <c r="D582" s="2">
        <v>0</v>
      </c>
      <c r="F582" s="2">
        <v>1</v>
      </c>
      <c r="G582" s="3">
        <v>6</v>
      </c>
      <c r="K582" s="4">
        <v>1</v>
      </c>
      <c r="L582" s="2">
        <v>150</v>
      </c>
      <c r="N582" s="6">
        <v>6</v>
      </c>
      <c r="O582" s="84"/>
      <c r="W582" s="10">
        <f>(1-0.628)*0.86*181/65</f>
        <v>0.89085415384615374</v>
      </c>
      <c r="AI582" s="15" t="s">
        <v>361</v>
      </c>
      <c r="AJ582" s="15" t="s">
        <v>354</v>
      </c>
      <c r="AK582" s="15">
        <v>1997</v>
      </c>
      <c r="AL582" s="15" t="s">
        <v>355</v>
      </c>
    </row>
    <row r="583" spans="1:39" x14ac:dyDescent="0.3">
      <c r="A583" s="1">
        <v>96</v>
      </c>
      <c r="D583" s="2">
        <v>0</v>
      </c>
      <c r="F583" s="2">
        <v>0</v>
      </c>
      <c r="K583" s="4">
        <v>1</v>
      </c>
      <c r="L583" s="2">
        <v>90</v>
      </c>
      <c r="N583" s="6">
        <v>6</v>
      </c>
      <c r="O583" s="84"/>
      <c r="T583" s="9">
        <v>6.6</v>
      </c>
      <c r="W583" s="10">
        <v>0.67</v>
      </c>
      <c r="X583" s="11">
        <v>150</v>
      </c>
      <c r="AI583" s="15" t="s">
        <v>357</v>
      </c>
      <c r="AJ583" s="15" t="s">
        <v>354</v>
      </c>
      <c r="AK583" s="15">
        <v>1997</v>
      </c>
      <c r="AL583" s="15" t="s">
        <v>355</v>
      </c>
    </row>
    <row r="584" spans="1:39" x14ac:dyDescent="0.3">
      <c r="A584" s="1">
        <v>96</v>
      </c>
      <c r="D584" s="2">
        <v>0</v>
      </c>
      <c r="F584" s="2">
        <v>1</v>
      </c>
      <c r="G584" s="3">
        <v>6</v>
      </c>
      <c r="K584" s="4">
        <v>1</v>
      </c>
      <c r="L584" s="2">
        <v>150</v>
      </c>
      <c r="N584" s="6">
        <v>6</v>
      </c>
      <c r="O584" s="84">
        <v>150</v>
      </c>
      <c r="P584" s="7">
        <v>0.67</v>
      </c>
      <c r="R584" s="8">
        <v>6.6</v>
      </c>
      <c r="T584" s="9">
        <v>8.1</v>
      </c>
      <c r="W584" s="10">
        <v>0.83</v>
      </c>
      <c r="X584" s="11">
        <v>210</v>
      </c>
      <c r="AI584" s="15" t="s">
        <v>357</v>
      </c>
      <c r="AJ584" s="15" t="s">
        <v>354</v>
      </c>
      <c r="AK584" s="15">
        <v>1997</v>
      </c>
      <c r="AL584" s="15" t="s">
        <v>355</v>
      </c>
    </row>
    <row r="585" spans="1:39" x14ac:dyDescent="0.3">
      <c r="A585" s="1">
        <v>0</v>
      </c>
      <c r="B585" s="67">
        <v>181</v>
      </c>
      <c r="D585" s="2">
        <v>0</v>
      </c>
      <c r="F585" s="2">
        <v>0</v>
      </c>
      <c r="K585" s="4">
        <v>1</v>
      </c>
      <c r="L585" s="2">
        <v>90</v>
      </c>
      <c r="N585" s="6">
        <v>6</v>
      </c>
      <c r="O585" s="84"/>
      <c r="R585" s="8">
        <v>6.3</v>
      </c>
      <c r="W585" s="10">
        <v>0.69</v>
      </c>
      <c r="Y585" s="12">
        <v>0.73</v>
      </c>
      <c r="AI585" s="15" t="s">
        <v>358</v>
      </c>
      <c r="AJ585" s="15" t="s">
        <v>354</v>
      </c>
      <c r="AK585" s="15">
        <v>1997</v>
      </c>
      <c r="AL585" s="15" t="s">
        <v>355</v>
      </c>
    </row>
    <row r="586" spans="1:39" x14ac:dyDescent="0.3">
      <c r="A586" s="1">
        <v>0</v>
      </c>
      <c r="B586" s="67">
        <v>181</v>
      </c>
      <c r="D586" s="2">
        <v>0</v>
      </c>
      <c r="F586" s="2">
        <v>1</v>
      </c>
      <c r="G586" s="3">
        <v>6</v>
      </c>
      <c r="K586" s="4">
        <v>1</v>
      </c>
      <c r="L586" s="2">
        <v>150</v>
      </c>
      <c r="N586" s="6">
        <v>6</v>
      </c>
      <c r="O586" s="84">
        <v>150</v>
      </c>
      <c r="P586" s="7">
        <v>0.69</v>
      </c>
      <c r="R586" s="8">
        <v>7.5</v>
      </c>
      <c r="W586" s="10">
        <v>0.86299999999999999</v>
      </c>
      <c r="Y586" s="12">
        <v>0.25</v>
      </c>
      <c r="AI586" s="81" t="s">
        <v>358</v>
      </c>
      <c r="AJ586" s="15" t="s">
        <v>354</v>
      </c>
      <c r="AK586" s="15">
        <v>1997</v>
      </c>
      <c r="AL586" s="15" t="s">
        <v>355</v>
      </c>
    </row>
    <row r="587" spans="1:39" x14ac:dyDescent="0.3">
      <c r="A587" s="1">
        <v>108</v>
      </c>
      <c r="B587" s="67">
        <v>0</v>
      </c>
      <c r="D587" s="2">
        <v>0</v>
      </c>
      <c r="F587" s="2">
        <v>0</v>
      </c>
      <c r="K587" s="4">
        <v>2</v>
      </c>
      <c r="L587" s="2">
        <v>90</v>
      </c>
      <c r="N587" s="6">
        <v>5</v>
      </c>
      <c r="O587" s="84"/>
      <c r="W587" s="10">
        <f>0.577*0.9*181/108</f>
        <v>0.87030833333333324</v>
      </c>
      <c r="AF587" s="80" t="s">
        <v>359</v>
      </c>
      <c r="AI587" s="15" t="s">
        <v>360</v>
      </c>
      <c r="AJ587" s="15" t="s">
        <v>354</v>
      </c>
      <c r="AK587" s="15">
        <v>1997</v>
      </c>
      <c r="AL587" s="15" t="s">
        <v>355</v>
      </c>
    </row>
    <row r="588" spans="1:39" x14ac:dyDescent="0.3">
      <c r="A588" s="1">
        <v>116</v>
      </c>
      <c r="B588" s="67">
        <v>0</v>
      </c>
      <c r="D588" s="2">
        <v>0</v>
      </c>
      <c r="F588" s="2">
        <v>1</v>
      </c>
      <c r="G588" s="3">
        <v>5</v>
      </c>
      <c r="K588" s="4">
        <v>2</v>
      </c>
      <c r="L588" s="2">
        <v>150</v>
      </c>
      <c r="N588" s="6">
        <v>5</v>
      </c>
      <c r="O588" s="84"/>
      <c r="W588" s="10">
        <f>0.638*0.97*181/116</f>
        <v>0.96563499999999991</v>
      </c>
      <c r="AF588" s="80" t="s">
        <v>359</v>
      </c>
      <c r="AI588" s="81" t="s">
        <v>360</v>
      </c>
      <c r="AJ588" s="15" t="s">
        <v>354</v>
      </c>
      <c r="AK588" s="15">
        <v>1997</v>
      </c>
      <c r="AL588" s="15" t="s">
        <v>355</v>
      </c>
    </row>
    <row r="589" spans="1:39" x14ac:dyDescent="0.3">
      <c r="A589" s="1">
        <v>85</v>
      </c>
      <c r="D589" s="2">
        <v>0</v>
      </c>
      <c r="F589" s="2">
        <v>0</v>
      </c>
      <c r="K589" s="4">
        <v>2</v>
      </c>
      <c r="L589" s="2">
        <v>90</v>
      </c>
      <c r="N589" s="6">
        <v>5</v>
      </c>
      <c r="T589" s="9">
        <v>7.8</v>
      </c>
      <c r="W589" s="10">
        <v>0.88</v>
      </c>
      <c r="X589" s="11">
        <v>150</v>
      </c>
      <c r="AI589" s="81" t="s">
        <v>356</v>
      </c>
      <c r="AJ589" s="15" t="s">
        <v>354</v>
      </c>
      <c r="AK589" s="15">
        <v>1997</v>
      </c>
      <c r="AL589" s="15" t="s">
        <v>355</v>
      </c>
    </row>
    <row r="590" spans="1:39" x14ac:dyDescent="0.3">
      <c r="A590" s="1">
        <v>85</v>
      </c>
      <c r="D590" s="2">
        <v>0</v>
      </c>
      <c r="F590" s="2">
        <v>1</v>
      </c>
      <c r="G590" s="3">
        <v>5</v>
      </c>
      <c r="K590" s="4">
        <v>2</v>
      </c>
      <c r="L590" s="2">
        <v>150</v>
      </c>
      <c r="N590" s="6">
        <v>5</v>
      </c>
      <c r="O590" s="17">
        <v>150</v>
      </c>
      <c r="P590" s="7">
        <v>0.98</v>
      </c>
      <c r="R590" s="8">
        <v>7.8</v>
      </c>
      <c r="T590" s="9">
        <v>8.9</v>
      </c>
      <c r="W590" s="10">
        <v>0.95</v>
      </c>
      <c r="X590" s="11">
        <v>210</v>
      </c>
      <c r="AI590" s="81" t="s">
        <v>356</v>
      </c>
      <c r="AJ590" s="15" t="s">
        <v>354</v>
      </c>
      <c r="AK590" s="15">
        <v>1997</v>
      </c>
      <c r="AL590" s="15" t="s">
        <v>355</v>
      </c>
    </row>
    <row r="591" spans="1:39" x14ac:dyDescent="0.3">
      <c r="A591" s="1">
        <v>73</v>
      </c>
      <c r="B591" s="67">
        <v>0</v>
      </c>
      <c r="D591" s="2">
        <v>0</v>
      </c>
      <c r="F591" s="2">
        <v>0</v>
      </c>
      <c r="K591" s="4">
        <v>2</v>
      </c>
      <c r="L591" s="2">
        <v>90</v>
      </c>
      <c r="N591" s="6">
        <v>5</v>
      </c>
      <c r="W591" s="10">
        <f>(1-0.577)*0.9*181/73</f>
        <v>0.94392739726027397</v>
      </c>
      <c r="AI591" s="81" t="s">
        <v>361</v>
      </c>
      <c r="AJ591" s="15" t="s">
        <v>354</v>
      </c>
      <c r="AK591" s="15">
        <v>1997</v>
      </c>
      <c r="AL591" s="15" t="s">
        <v>355</v>
      </c>
    </row>
    <row r="592" spans="1:39" x14ac:dyDescent="0.3">
      <c r="A592" s="1">
        <v>65</v>
      </c>
      <c r="B592" s="67">
        <v>0</v>
      </c>
      <c r="D592" s="2">
        <v>0</v>
      </c>
      <c r="F592" s="2">
        <v>1</v>
      </c>
      <c r="G592" s="3">
        <v>5</v>
      </c>
      <c r="K592" s="4">
        <v>2</v>
      </c>
      <c r="L592" s="2">
        <v>150</v>
      </c>
      <c r="N592" s="6">
        <v>5</v>
      </c>
      <c r="W592" s="10">
        <f>(1-0.638)*0.97*181/65</f>
        <v>0.97778984615384601</v>
      </c>
      <c r="AI592" s="81" t="s">
        <v>361</v>
      </c>
      <c r="AJ592" s="15" t="s">
        <v>354</v>
      </c>
      <c r="AK592" s="15">
        <v>1997</v>
      </c>
      <c r="AL592" s="15" t="s">
        <v>355</v>
      </c>
      <c r="AM592" s="81"/>
    </row>
    <row r="593" spans="1:39" x14ac:dyDescent="0.3">
      <c r="A593" s="1">
        <v>96</v>
      </c>
      <c r="D593" s="2">
        <v>0</v>
      </c>
      <c r="F593" s="2">
        <v>0</v>
      </c>
      <c r="K593" s="4">
        <v>2</v>
      </c>
      <c r="L593" s="2">
        <v>90</v>
      </c>
      <c r="N593" s="6">
        <v>5</v>
      </c>
      <c r="T593" s="9">
        <v>8.6999999999999993</v>
      </c>
      <c r="W593" s="10">
        <v>0.92</v>
      </c>
      <c r="X593" s="11">
        <v>150</v>
      </c>
      <c r="AI593" s="81" t="s">
        <v>357</v>
      </c>
      <c r="AJ593" s="15" t="s">
        <v>354</v>
      </c>
      <c r="AK593" s="15">
        <v>1997</v>
      </c>
      <c r="AL593" s="15" t="s">
        <v>355</v>
      </c>
      <c r="AM593" s="81"/>
    </row>
    <row r="594" spans="1:39" x14ac:dyDescent="0.3">
      <c r="A594" s="1">
        <v>96</v>
      </c>
      <c r="D594" s="2">
        <v>0</v>
      </c>
      <c r="F594" s="2">
        <v>1</v>
      </c>
      <c r="G594" s="3">
        <v>5</v>
      </c>
      <c r="K594" s="4">
        <v>2</v>
      </c>
      <c r="L594" s="2">
        <v>150</v>
      </c>
      <c r="N594" s="6">
        <v>5</v>
      </c>
      <c r="O594" s="17">
        <v>150</v>
      </c>
      <c r="P594" s="7">
        <v>0.92</v>
      </c>
      <c r="R594" s="8">
        <v>8.6999999999999993</v>
      </c>
      <c r="T594" s="9">
        <v>9.5</v>
      </c>
      <c r="W594" s="10">
        <v>0.99</v>
      </c>
      <c r="X594" s="11">
        <v>210</v>
      </c>
      <c r="AI594" s="81" t="s">
        <v>357</v>
      </c>
      <c r="AJ594" s="15" t="s">
        <v>354</v>
      </c>
      <c r="AK594" s="15">
        <v>1997</v>
      </c>
      <c r="AL594" s="15" t="s">
        <v>355</v>
      </c>
      <c r="AM594" s="81"/>
    </row>
    <row r="595" spans="1:39" x14ac:dyDescent="0.3">
      <c r="A595" s="1">
        <v>0</v>
      </c>
      <c r="B595" s="67">
        <v>181</v>
      </c>
      <c r="D595" s="2">
        <v>0</v>
      </c>
      <c r="F595" s="2">
        <v>0</v>
      </c>
      <c r="K595" s="4">
        <v>2</v>
      </c>
      <c r="L595" s="2">
        <v>90</v>
      </c>
      <c r="N595" s="6">
        <v>5</v>
      </c>
      <c r="R595" s="8">
        <v>8.3000000000000007</v>
      </c>
      <c r="W595" s="10">
        <v>0.9</v>
      </c>
      <c r="Y595" s="12">
        <v>0.69</v>
      </c>
      <c r="AI595" s="81" t="s">
        <v>358</v>
      </c>
      <c r="AJ595" s="15" t="s">
        <v>354</v>
      </c>
      <c r="AK595" s="15">
        <v>1997</v>
      </c>
      <c r="AL595" s="15" t="s">
        <v>355</v>
      </c>
      <c r="AM595" s="81"/>
    </row>
    <row r="596" spans="1:39" x14ac:dyDescent="0.3">
      <c r="A596" s="1">
        <v>0</v>
      </c>
      <c r="B596" s="67">
        <v>181</v>
      </c>
      <c r="D596" s="2">
        <v>0</v>
      </c>
      <c r="F596" s="2">
        <v>1</v>
      </c>
      <c r="G596" s="3">
        <v>5</v>
      </c>
      <c r="K596" s="4">
        <v>2</v>
      </c>
      <c r="L596" s="2">
        <v>150</v>
      </c>
      <c r="N596" s="6">
        <v>5</v>
      </c>
      <c r="O596" s="17">
        <v>150</v>
      </c>
      <c r="P596" s="7">
        <v>0.9</v>
      </c>
      <c r="R596" s="8">
        <v>9.1999999999999993</v>
      </c>
      <c r="W596" s="10">
        <v>0.97099999999999997</v>
      </c>
      <c r="Y596" s="12">
        <v>0.06</v>
      </c>
      <c r="AI596" s="81" t="s">
        <v>358</v>
      </c>
      <c r="AJ596" s="15" t="s">
        <v>354</v>
      </c>
      <c r="AK596" s="15">
        <v>1997</v>
      </c>
      <c r="AL596" s="15" t="s">
        <v>355</v>
      </c>
      <c r="AM596" s="81"/>
    </row>
    <row r="597" spans="1:39" x14ac:dyDescent="0.3">
      <c r="A597" s="1">
        <v>108</v>
      </c>
      <c r="B597" s="67">
        <v>0</v>
      </c>
      <c r="D597" s="2">
        <v>0</v>
      </c>
      <c r="F597" s="2">
        <v>0</v>
      </c>
      <c r="K597" s="4">
        <v>3</v>
      </c>
      <c r="L597" s="2">
        <v>90</v>
      </c>
      <c r="N597" s="6">
        <v>5.6</v>
      </c>
      <c r="W597" s="10">
        <f>0.628*0.35*181/108</f>
        <v>0.36836851851851854</v>
      </c>
      <c r="AF597" s="80" t="s">
        <v>359</v>
      </c>
      <c r="AI597" s="81" t="s">
        <v>360</v>
      </c>
      <c r="AJ597" s="15" t="s">
        <v>354</v>
      </c>
      <c r="AK597" s="15">
        <v>1997</v>
      </c>
      <c r="AL597" s="15" t="s">
        <v>355</v>
      </c>
      <c r="AM597" s="81"/>
    </row>
    <row r="598" spans="1:39" x14ac:dyDescent="0.3">
      <c r="A598" s="1">
        <v>116</v>
      </c>
      <c r="B598" s="67">
        <v>0</v>
      </c>
      <c r="D598" s="2">
        <v>0</v>
      </c>
      <c r="F598" s="2">
        <v>1</v>
      </c>
      <c r="G598" s="3">
        <v>5.6</v>
      </c>
      <c r="K598" s="4">
        <v>3</v>
      </c>
      <c r="L598" s="2">
        <v>150</v>
      </c>
      <c r="N598" s="6">
        <v>5.6</v>
      </c>
      <c r="W598" s="10">
        <f>0.616*0.61*181/116</f>
        <v>0.58631517241379305</v>
      </c>
      <c r="AF598" s="80" t="s">
        <v>359</v>
      </c>
      <c r="AI598" s="81" t="s">
        <v>360</v>
      </c>
      <c r="AJ598" s="15" t="s">
        <v>354</v>
      </c>
      <c r="AK598" s="15">
        <v>1997</v>
      </c>
      <c r="AL598" s="15" t="s">
        <v>355</v>
      </c>
    </row>
    <row r="599" spans="1:39" x14ac:dyDescent="0.3">
      <c r="A599" s="1">
        <v>85</v>
      </c>
      <c r="D599" s="2">
        <v>0</v>
      </c>
      <c r="F599" s="2">
        <v>0</v>
      </c>
      <c r="K599" s="4">
        <v>3</v>
      </c>
      <c r="L599" s="2">
        <v>90</v>
      </c>
      <c r="N599" s="6">
        <v>5.6</v>
      </c>
      <c r="T599" s="9">
        <v>3.6</v>
      </c>
      <c r="W599" s="10">
        <v>0.32</v>
      </c>
      <c r="X599" s="11">
        <v>150</v>
      </c>
      <c r="AI599" s="81" t="s">
        <v>356</v>
      </c>
      <c r="AJ599" s="15" t="s">
        <v>354</v>
      </c>
      <c r="AK599" s="15">
        <v>1997</v>
      </c>
      <c r="AL599" s="15" t="s">
        <v>355</v>
      </c>
    </row>
    <row r="600" spans="1:39" x14ac:dyDescent="0.3">
      <c r="A600" s="1">
        <v>85</v>
      </c>
      <c r="D600" s="2">
        <v>0</v>
      </c>
      <c r="F600" s="2">
        <v>1</v>
      </c>
      <c r="G600" s="3">
        <v>5.6</v>
      </c>
      <c r="K600" s="4">
        <v>3</v>
      </c>
      <c r="L600" s="2">
        <v>150</v>
      </c>
      <c r="N600" s="6">
        <v>5.6</v>
      </c>
      <c r="O600" s="17">
        <v>150</v>
      </c>
      <c r="P600" s="7">
        <v>0.32</v>
      </c>
      <c r="R600" s="8">
        <v>3.6</v>
      </c>
      <c r="T600" s="9">
        <v>5</v>
      </c>
      <c r="W600" s="10">
        <v>0.64</v>
      </c>
      <c r="X600" s="11">
        <v>210</v>
      </c>
      <c r="AI600" s="81" t="s">
        <v>356</v>
      </c>
      <c r="AJ600" s="15" t="s">
        <v>354</v>
      </c>
      <c r="AK600" s="15">
        <v>1997</v>
      </c>
      <c r="AL600" s="15" t="s">
        <v>355</v>
      </c>
    </row>
    <row r="601" spans="1:39" x14ac:dyDescent="0.3">
      <c r="A601" s="1">
        <v>73</v>
      </c>
      <c r="B601" s="67">
        <v>0</v>
      </c>
      <c r="D601" s="2">
        <v>0</v>
      </c>
      <c r="F601" s="2">
        <v>0</v>
      </c>
      <c r="K601" s="4">
        <v>3</v>
      </c>
      <c r="L601" s="2">
        <v>90</v>
      </c>
      <c r="N601" s="6">
        <v>5.6</v>
      </c>
      <c r="W601" s="10">
        <f>(1-0.628)*0.35*181/73</f>
        <v>0.32282465753424655</v>
      </c>
      <c r="AI601" s="81" t="s">
        <v>361</v>
      </c>
      <c r="AJ601" s="15" t="s">
        <v>354</v>
      </c>
      <c r="AK601" s="15">
        <v>1997</v>
      </c>
      <c r="AL601" s="15" t="s">
        <v>355</v>
      </c>
    </row>
    <row r="602" spans="1:39" x14ac:dyDescent="0.3">
      <c r="A602" s="1">
        <v>65</v>
      </c>
      <c r="B602" s="67">
        <v>0</v>
      </c>
      <c r="D602" s="2">
        <v>0</v>
      </c>
      <c r="F602" s="2">
        <v>1</v>
      </c>
      <c r="G602" s="3">
        <v>5.6</v>
      </c>
      <c r="K602" s="4">
        <v>3</v>
      </c>
      <c r="L602" s="2">
        <v>150</v>
      </c>
      <c r="N602" s="6">
        <v>5.6</v>
      </c>
      <c r="W602" s="10">
        <f>(1-0.616)*0.61*181/65</f>
        <v>0.6522683076923077</v>
      </c>
      <c r="AI602" s="81" t="s">
        <v>361</v>
      </c>
      <c r="AJ602" s="15" t="s">
        <v>354</v>
      </c>
      <c r="AK602" s="15">
        <v>1997</v>
      </c>
      <c r="AL602" s="15" t="s">
        <v>355</v>
      </c>
    </row>
    <row r="603" spans="1:39" x14ac:dyDescent="0.3">
      <c r="A603" s="1">
        <v>96</v>
      </c>
      <c r="D603" s="2">
        <v>0</v>
      </c>
      <c r="F603" s="2">
        <v>0</v>
      </c>
      <c r="K603" s="4">
        <v>3</v>
      </c>
      <c r="L603" s="2">
        <v>90</v>
      </c>
      <c r="N603" s="6">
        <v>5.6</v>
      </c>
      <c r="T603" s="9">
        <v>4.0999999999999996</v>
      </c>
      <c r="W603" s="10">
        <v>0.37</v>
      </c>
      <c r="X603" s="11">
        <v>150</v>
      </c>
      <c r="AI603" s="81" t="s">
        <v>357</v>
      </c>
      <c r="AJ603" s="15" t="s">
        <v>354</v>
      </c>
      <c r="AK603" s="15">
        <v>1997</v>
      </c>
      <c r="AL603" s="15" t="s">
        <v>355</v>
      </c>
    </row>
    <row r="604" spans="1:39" x14ac:dyDescent="0.3">
      <c r="A604" s="1">
        <v>96</v>
      </c>
      <c r="D604" s="2">
        <v>0</v>
      </c>
      <c r="F604" s="2">
        <v>1</v>
      </c>
      <c r="G604" s="3">
        <v>5.6</v>
      </c>
      <c r="K604" s="4">
        <v>3</v>
      </c>
      <c r="L604" s="2">
        <v>150</v>
      </c>
      <c r="N604" s="6">
        <v>5.6</v>
      </c>
      <c r="T604" s="9">
        <v>5.2</v>
      </c>
      <c r="W604" s="10">
        <v>0.57999999999999996</v>
      </c>
      <c r="X604" s="11">
        <v>210</v>
      </c>
      <c r="AI604" s="81" t="s">
        <v>357</v>
      </c>
      <c r="AJ604" s="15" t="s">
        <v>354</v>
      </c>
      <c r="AK604" s="15">
        <v>1997</v>
      </c>
      <c r="AL604" s="15" t="s">
        <v>355</v>
      </c>
    </row>
    <row r="605" spans="1:39" x14ac:dyDescent="0.3">
      <c r="A605" s="1">
        <v>0</v>
      </c>
      <c r="B605" s="67">
        <v>181</v>
      </c>
      <c r="D605" s="2">
        <v>0</v>
      </c>
      <c r="F605" s="2">
        <v>0</v>
      </c>
      <c r="K605" s="4">
        <v>3</v>
      </c>
      <c r="L605" s="2">
        <v>90</v>
      </c>
      <c r="N605" s="6">
        <v>5.6</v>
      </c>
      <c r="R605" s="8">
        <v>3.9</v>
      </c>
      <c r="W605" s="10">
        <v>0.34599999999999997</v>
      </c>
      <c r="Y605" s="12">
        <v>0.34</v>
      </c>
      <c r="AI605" s="81" t="s">
        <v>358</v>
      </c>
      <c r="AJ605" s="15" t="s">
        <v>354</v>
      </c>
      <c r="AK605" s="15">
        <v>1997</v>
      </c>
      <c r="AL605" s="15" t="s">
        <v>355</v>
      </c>
    </row>
    <row r="606" spans="1:39" x14ac:dyDescent="0.3">
      <c r="A606" s="1">
        <v>0</v>
      </c>
      <c r="B606" s="67">
        <v>181</v>
      </c>
      <c r="D606" s="2">
        <v>0</v>
      </c>
      <c r="F606" s="2">
        <v>1</v>
      </c>
      <c r="G606" s="3">
        <v>5.6</v>
      </c>
      <c r="K606" s="4">
        <v>3</v>
      </c>
      <c r="L606" s="2">
        <v>150</v>
      </c>
      <c r="N606" s="6">
        <v>5.6</v>
      </c>
      <c r="O606" s="17">
        <v>150</v>
      </c>
      <c r="P606" s="7">
        <v>0.34599999999999997</v>
      </c>
      <c r="R606" s="8">
        <v>5.0999999999999996</v>
      </c>
      <c r="W606" s="10">
        <v>0.60799999999999998</v>
      </c>
      <c r="Y606" s="12">
        <v>0.25</v>
      </c>
      <c r="AI606" s="81" t="s">
        <v>358</v>
      </c>
      <c r="AJ606" s="15" t="s">
        <v>354</v>
      </c>
      <c r="AK606" s="15">
        <v>1997</v>
      </c>
      <c r="AL606" s="15" t="s">
        <v>355</v>
      </c>
    </row>
    <row r="607" spans="1:39" x14ac:dyDescent="0.3">
      <c r="A607" s="1">
        <v>9</v>
      </c>
      <c r="B607" s="2">
        <v>12</v>
      </c>
      <c r="D607" s="2">
        <v>0</v>
      </c>
      <c r="F607" s="2">
        <v>0</v>
      </c>
      <c r="K607" s="4">
        <v>1</v>
      </c>
      <c r="L607" s="2">
        <v>210</v>
      </c>
      <c r="N607" s="6">
        <v>6</v>
      </c>
      <c r="O607" s="17">
        <v>210</v>
      </c>
      <c r="P607" s="7">
        <f>1/9</f>
        <v>0.1111111111111111</v>
      </c>
      <c r="Y607" s="12">
        <f>11/12</f>
        <v>0.91666666666666663</v>
      </c>
      <c r="AB607" s="2">
        <v>19.5</v>
      </c>
      <c r="AC607" s="2">
        <v>130</v>
      </c>
      <c r="AE607" s="14">
        <f>14/18</f>
        <v>0.77777777777777779</v>
      </c>
      <c r="AI607" s="15" t="s">
        <v>160</v>
      </c>
      <c r="AJ607" s="15" t="s">
        <v>161</v>
      </c>
      <c r="AK607" s="15">
        <v>1997</v>
      </c>
      <c r="AL607" s="15" t="s">
        <v>162</v>
      </c>
      <c r="AM607" s="15" t="s">
        <v>163</v>
      </c>
    </row>
    <row r="608" spans="1:39" x14ac:dyDescent="0.3">
      <c r="A608" s="1">
        <v>9</v>
      </c>
      <c r="B608" s="2">
        <v>0</v>
      </c>
      <c r="D608" s="2">
        <v>0</v>
      </c>
      <c r="F608" s="2">
        <v>1</v>
      </c>
      <c r="G608" s="3">
        <v>6</v>
      </c>
      <c r="K608" s="4">
        <v>1</v>
      </c>
      <c r="L608" s="2">
        <v>240</v>
      </c>
      <c r="N608" s="6">
        <v>6</v>
      </c>
      <c r="O608" s="17">
        <v>240</v>
      </c>
      <c r="W608" s="10">
        <f>8/9</f>
        <v>0.88888888888888884</v>
      </c>
      <c r="X608" s="11">
        <v>270</v>
      </c>
      <c r="AI608" s="15" t="s">
        <v>160</v>
      </c>
      <c r="AJ608" s="15" t="s">
        <v>161</v>
      </c>
      <c r="AK608" s="15">
        <v>1997</v>
      </c>
      <c r="AL608" s="15" t="s">
        <v>162</v>
      </c>
      <c r="AM608" s="15" t="s">
        <v>283</v>
      </c>
    </row>
    <row r="609" spans="1:39" x14ac:dyDescent="0.3">
      <c r="A609" s="1">
        <v>9</v>
      </c>
      <c r="B609" s="2">
        <v>9</v>
      </c>
      <c r="D609" s="2">
        <v>0</v>
      </c>
      <c r="F609" s="2">
        <v>2</v>
      </c>
      <c r="G609" s="3">
        <v>6</v>
      </c>
      <c r="K609" s="4">
        <v>1</v>
      </c>
      <c r="L609" s="2">
        <v>270</v>
      </c>
      <c r="N609" s="6">
        <v>6</v>
      </c>
      <c r="O609" s="17">
        <v>270</v>
      </c>
      <c r="P609" s="7">
        <f>8/9</f>
        <v>0.88888888888888884</v>
      </c>
      <c r="W609" s="10">
        <f>8/9</f>
        <v>0.88888888888888884</v>
      </c>
      <c r="X609" s="11">
        <v>300</v>
      </c>
      <c r="Y609" s="12">
        <f>4/9</f>
        <v>0.44444444444444442</v>
      </c>
      <c r="AB609" s="2">
        <v>9.5</v>
      </c>
      <c r="AC609" s="2">
        <v>90</v>
      </c>
      <c r="AI609" s="15" t="s">
        <v>160</v>
      </c>
      <c r="AJ609" s="15" t="s">
        <v>161</v>
      </c>
      <c r="AK609" s="15">
        <v>1997</v>
      </c>
      <c r="AL609" s="15" t="s">
        <v>162</v>
      </c>
      <c r="AM609" s="15" t="s">
        <v>434</v>
      </c>
    </row>
    <row r="610" spans="1:39" x14ac:dyDescent="0.3">
      <c r="A610" s="1">
        <v>9</v>
      </c>
      <c r="B610" s="2">
        <v>12</v>
      </c>
      <c r="D610" s="2">
        <v>0</v>
      </c>
      <c r="F610" s="2">
        <v>0</v>
      </c>
      <c r="K610" s="4">
        <v>2</v>
      </c>
      <c r="L610" s="2">
        <v>210</v>
      </c>
      <c r="N610" s="6">
        <v>5</v>
      </c>
      <c r="O610" s="17">
        <v>210</v>
      </c>
      <c r="P610" s="7">
        <f>1/9</f>
        <v>0.1111111111111111</v>
      </c>
      <c r="Y610" s="12">
        <f>10/12</f>
        <v>0.83333333333333337</v>
      </c>
      <c r="AB610" s="2">
        <v>27.2</v>
      </c>
      <c r="AC610" s="2">
        <v>86</v>
      </c>
      <c r="AE610" s="14">
        <f>14/18</f>
        <v>0.77777777777777779</v>
      </c>
      <c r="AI610" s="15" t="s">
        <v>160</v>
      </c>
      <c r="AJ610" s="15" t="s">
        <v>161</v>
      </c>
      <c r="AK610" s="15">
        <v>1997</v>
      </c>
      <c r="AL610" s="15" t="s">
        <v>162</v>
      </c>
      <c r="AM610" s="15" t="s">
        <v>163</v>
      </c>
    </row>
    <row r="611" spans="1:39" x14ac:dyDescent="0.3">
      <c r="A611" s="1">
        <v>9</v>
      </c>
      <c r="D611" s="2">
        <v>0</v>
      </c>
      <c r="F611" s="2">
        <v>1</v>
      </c>
      <c r="G611" s="3">
        <v>5</v>
      </c>
      <c r="K611" s="4">
        <v>2</v>
      </c>
      <c r="L611" s="2">
        <v>240</v>
      </c>
      <c r="N611" s="6">
        <v>5</v>
      </c>
      <c r="O611" s="17">
        <v>240</v>
      </c>
      <c r="W611" s="10">
        <v>1</v>
      </c>
      <c r="X611" s="11">
        <v>270</v>
      </c>
      <c r="AI611" s="15" t="s">
        <v>160</v>
      </c>
      <c r="AJ611" s="15" t="s">
        <v>161</v>
      </c>
      <c r="AK611" s="15">
        <v>1997</v>
      </c>
      <c r="AL611" s="15" t="s">
        <v>162</v>
      </c>
      <c r="AM611" s="15" t="s">
        <v>283</v>
      </c>
    </row>
    <row r="612" spans="1:39" x14ac:dyDescent="0.3">
      <c r="A612" s="1">
        <v>9</v>
      </c>
      <c r="B612" s="2">
        <v>9</v>
      </c>
      <c r="D612" s="2">
        <v>0</v>
      </c>
      <c r="F612" s="2">
        <v>2</v>
      </c>
      <c r="G612" s="3">
        <v>5</v>
      </c>
      <c r="K612" s="4">
        <v>2</v>
      </c>
      <c r="L612" s="2">
        <v>270</v>
      </c>
      <c r="N612" s="6">
        <v>5</v>
      </c>
      <c r="O612" s="17">
        <v>270</v>
      </c>
      <c r="P612" s="7">
        <v>1</v>
      </c>
      <c r="W612" s="10">
        <v>1</v>
      </c>
      <c r="X612" s="11">
        <v>300</v>
      </c>
      <c r="Y612" s="12">
        <f>3/9</f>
        <v>0.33333333333333331</v>
      </c>
      <c r="AB612" s="2">
        <v>2</v>
      </c>
      <c r="AC612" s="2">
        <v>0</v>
      </c>
      <c r="AI612" s="15" t="s">
        <v>160</v>
      </c>
      <c r="AJ612" s="15" t="s">
        <v>161</v>
      </c>
      <c r="AK612" s="15">
        <v>1997</v>
      </c>
      <c r="AL612" s="15" t="s">
        <v>162</v>
      </c>
      <c r="AM612" s="15" t="s">
        <v>434</v>
      </c>
    </row>
    <row r="613" spans="1:39" x14ac:dyDescent="0.3">
      <c r="A613" s="1">
        <v>9</v>
      </c>
      <c r="B613" s="2">
        <v>12</v>
      </c>
      <c r="D613" s="2">
        <v>0</v>
      </c>
      <c r="F613" s="2">
        <v>0</v>
      </c>
      <c r="K613" s="4">
        <v>3</v>
      </c>
      <c r="L613" s="2">
        <v>210</v>
      </c>
      <c r="N613" s="6">
        <v>5.5</v>
      </c>
      <c r="O613" s="17">
        <v>210</v>
      </c>
      <c r="P613" s="7">
        <f>1/9</f>
        <v>0.1111111111111111</v>
      </c>
      <c r="Y613" s="12">
        <f>1/12</f>
        <v>8.3333333333333329E-2</v>
      </c>
      <c r="AB613" s="2">
        <v>26</v>
      </c>
      <c r="AC613" s="2">
        <v>0</v>
      </c>
      <c r="AI613" s="15" t="s">
        <v>160</v>
      </c>
      <c r="AJ613" s="15" t="s">
        <v>161</v>
      </c>
      <c r="AK613" s="15">
        <v>1997</v>
      </c>
      <c r="AL613" s="15" t="s">
        <v>162</v>
      </c>
      <c r="AM613" s="15" t="s">
        <v>163</v>
      </c>
    </row>
    <row r="614" spans="1:39" x14ac:dyDescent="0.3">
      <c r="A614" s="1">
        <v>9</v>
      </c>
      <c r="B614" s="2">
        <v>11</v>
      </c>
      <c r="D614" s="2">
        <v>0</v>
      </c>
      <c r="F614" s="2">
        <v>1</v>
      </c>
      <c r="G614" s="3">
        <v>5.5</v>
      </c>
      <c r="K614" s="4">
        <v>3</v>
      </c>
      <c r="L614" s="2">
        <v>240</v>
      </c>
      <c r="N614" s="6">
        <v>5.5</v>
      </c>
      <c r="O614" s="17">
        <v>240</v>
      </c>
      <c r="W614" s="10">
        <f>7/9</f>
        <v>0.77777777777777779</v>
      </c>
      <c r="X614" s="11">
        <v>270</v>
      </c>
      <c r="Y614" s="12">
        <f>5/11</f>
        <v>0.45454545454545453</v>
      </c>
      <c r="AB614" s="2">
        <v>24</v>
      </c>
      <c r="AC614" s="2">
        <v>16</v>
      </c>
      <c r="AE614" s="14">
        <v>1</v>
      </c>
      <c r="AI614" s="15" t="s">
        <v>160</v>
      </c>
      <c r="AJ614" s="15" t="s">
        <v>161</v>
      </c>
      <c r="AK614" s="15">
        <v>1997</v>
      </c>
      <c r="AL614" s="15" t="s">
        <v>162</v>
      </c>
    </row>
    <row r="615" spans="1:39" x14ac:dyDescent="0.3">
      <c r="A615" s="1">
        <v>9</v>
      </c>
      <c r="B615" s="2">
        <v>9</v>
      </c>
      <c r="D615" s="2">
        <v>0</v>
      </c>
      <c r="F615" s="2">
        <v>2</v>
      </c>
      <c r="G615" s="3">
        <v>5.5</v>
      </c>
      <c r="K615" s="4">
        <v>3</v>
      </c>
      <c r="L615" s="2">
        <v>270</v>
      </c>
      <c r="N615" s="6">
        <v>5.5</v>
      </c>
      <c r="O615" s="17">
        <v>270</v>
      </c>
      <c r="P615" s="7">
        <f>7/9</f>
        <v>0.77777777777777779</v>
      </c>
      <c r="W615" s="10">
        <f>7/9</f>
        <v>0.77777777777777779</v>
      </c>
      <c r="X615" s="11">
        <v>300</v>
      </c>
      <c r="Y615" s="12">
        <f>3/9</f>
        <v>0.33333333333333331</v>
      </c>
      <c r="AB615" s="2">
        <v>47.3</v>
      </c>
      <c r="AC615" s="2">
        <v>257</v>
      </c>
      <c r="AI615" s="15" t="s">
        <v>160</v>
      </c>
      <c r="AJ615" s="15" t="s">
        <v>161</v>
      </c>
      <c r="AK615" s="15">
        <v>1997</v>
      </c>
      <c r="AL615" s="15" t="s">
        <v>162</v>
      </c>
      <c r="AM615" s="15" t="s">
        <v>434</v>
      </c>
    </row>
    <row r="616" spans="1:39" x14ac:dyDescent="0.3">
      <c r="A616" s="1">
        <v>28</v>
      </c>
      <c r="B616" s="2">
        <v>28</v>
      </c>
      <c r="D616" s="2">
        <v>1</v>
      </c>
      <c r="E616" s="2">
        <v>20</v>
      </c>
      <c r="F616" s="2">
        <v>0</v>
      </c>
      <c r="K616" s="4">
        <v>1</v>
      </c>
      <c r="L616" s="2">
        <v>1825</v>
      </c>
      <c r="O616" s="17">
        <v>1825</v>
      </c>
      <c r="P616" s="7">
        <v>0</v>
      </c>
      <c r="R616" s="8">
        <v>0</v>
      </c>
      <c r="S616" s="8">
        <v>0</v>
      </c>
      <c r="Y616" s="12">
        <v>1</v>
      </c>
      <c r="AB616" s="2">
        <v>12.4</v>
      </c>
      <c r="AC616" s="2">
        <v>24</v>
      </c>
      <c r="AD616" s="68" t="s">
        <v>420</v>
      </c>
      <c r="AH616" s="80" t="s">
        <v>402</v>
      </c>
      <c r="AI616" s="15" t="s">
        <v>423</v>
      </c>
      <c r="AJ616" s="15" t="s">
        <v>421</v>
      </c>
      <c r="AK616" s="15">
        <v>1962</v>
      </c>
      <c r="AL616" s="15" t="s">
        <v>422</v>
      </c>
      <c r="AM616" s="15" t="s">
        <v>426</v>
      </c>
    </row>
    <row r="617" spans="1:39" x14ac:dyDescent="0.3">
      <c r="A617" s="1">
        <v>39</v>
      </c>
      <c r="B617" s="2">
        <v>39</v>
      </c>
      <c r="D617" s="2">
        <v>1</v>
      </c>
      <c r="E617" s="2">
        <v>20</v>
      </c>
      <c r="F617" s="2">
        <v>0</v>
      </c>
      <c r="K617" s="4">
        <v>1</v>
      </c>
      <c r="L617" s="2">
        <v>1825</v>
      </c>
      <c r="O617" s="17">
        <v>1825</v>
      </c>
      <c r="P617" s="7">
        <v>0</v>
      </c>
      <c r="R617" s="8">
        <v>0</v>
      </c>
      <c r="S617" s="8">
        <v>0</v>
      </c>
      <c r="Y617" s="12">
        <v>1</v>
      </c>
      <c r="AB617" s="2">
        <v>40</v>
      </c>
      <c r="AC617" s="2">
        <v>72</v>
      </c>
      <c r="AD617" s="68" t="s">
        <v>427</v>
      </c>
      <c r="AH617" s="80" t="s">
        <v>402</v>
      </c>
      <c r="AI617" s="15" t="s">
        <v>428</v>
      </c>
      <c r="AJ617" s="15" t="s">
        <v>421</v>
      </c>
      <c r="AK617" s="15">
        <v>1962</v>
      </c>
      <c r="AL617" s="15" t="s">
        <v>422</v>
      </c>
    </row>
    <row r="618" spans="1:39" x14ac:dyDescent="0.3">
      <c r="A618" s="1">
        <v>16</v>
      </c>
      <c r="B618" s="2">
        <v>16</v>
      </c>
      <c r="D618" s="2">
        <v>1</v>
      </c>
      <c r="E618" s="2">
        <v>20</v>
      </c>
      <c r="F618" s="2">
        <v>0</v>
      </c>
      <c r="K618" s="4">
        <v>1</v>
      </c>
      <c r="L618" s="2">
        <v>1825</v>
      </c>
      <c r="O618" s="17">
        <v>1825</v>
      </c>
      <c r="P618" s="7">
        <v>1</v>
      </c>
      <c r="R618" s="8">
        <v>8.5</v>
      </c>
      <c r="S618" s="8">
        <v>1</v>
      </c>
      <c r="Y618" s="12">
        <v>1</v>
      </c>
      <c r="AB618" s="2">
        <v>6</v>
      </c>
      <c r="AC618" s="2">
        <v>12</v>
      </c>
      <c r="AD618" s="68" t="s">
        <v>420</v>
      </c>
      <c r="AH618" s="80" t="s">
        <v>402</v>
      </c>
      <c r="AI618" s="15" t="s">
        <v>425</v>
      </c>
      <c r="AJ618" s="15" t="s">
        <v>421</v>
      </c>
      <c r="AK618" s="15">
        <v>1962</v>
      </c>
      <c r="AL618" s="15" t="s">
        <v>422</v>
      </c>
      <c r="AM618" s="15" t="s">
        <v>426</v>
      </c>
    </row>
    <row r="619" spans="1:39" x14ac:dyDescent="0.3">
      <c r="A619" s="1">
        <v>10</v>
      </c>
      <c r="B619" s="2">
        <v>10</v>
      </c>
      <c r="D619" s="2">
        <v>1</v>
      </c>
      <c r="E619" s="2">
        <v>20</v>
      </c>
      <c r="F619" s="2">
        <v>0</v>
      </c>
      <c r="K619" s="4">
        <v>1</v>
      </c>
      <c r="L619" s="2">
        <v>1825</v>
      </c>
      <c r="O619" s="17">
        <v>1825</v>
      </c>
      <c r="P619" s="7">
        <v>1</v>
      </c>
      <c r="R619" s="8">
        <v>7.5</v>
      </c>
      <c r="S619" s="8">
        <v>0.25</v>
      </c>
      <c r="Y619" s="12">
        <v>1</v>
      </c>
      <c r="AB619" s="2">
        <v>34</v>
      </c>
      <c r="AC619" s="2">
        <v>83</v>
      </c>
      <c r="AD619" s="68" t="s">
        <v>427</v>
      </c>
      <c r="AH619" s="80" t="s">
        <v>402</v>
      </c>
      <c r="AI619" s="15" t="s">
        <v>430</v>
      </c>
      <c r="AJ619" s="15" t="s">
        <v>421</v>
      </c>
      <c r="AK619" s="15">
        <v>1962</v>
      </c>
      <c r="AL619" s="15" t="s">
        <v>422</v>
      </c>
    </row>
    <row r="620" spans="1:39" x14ac:dyDescent="0.3">
      <c r="A620" s="1">
        <v>7</v>
      </c>
      <c r="B620" s="2">
        <v>7</v>
      </c>
      <c r="D620" s="2">
        <v>1</v>
      </c>
      <c r="E620" s="2">
        <v>20</v>
      </c>
      <c r="F620" s="2">
        <v>0</v>
      </c>
      <c r="K620" s="4">
        <v>1</v>
      </c>
      <c r="L620" s="2">
        <v>1825</v>
      </c>
      <c r="O620" s="17">
        <v>1825</v>
      </c>
      <c r="P620" s="7">
        <v>1</v>
      </c>
      <c r="R620" s="8">
        <v>10</v>
      </c>
      <c r="S620" s="8">
        <v>1</v>
      </c>
      <c r="Y620" s="12">
        <v>1</v>
      </c>
      <c r="AB620" s="2">
        <v>34</v>
      </c>
      <c r="AC620" s="2">
        <v>93</v>
      </c>
      <c r="AD620" s="68" t="s">
        <v>427</v>
      </c>
      <c r="AH620" s="80" t="s">
        <v>402</v>
      </c>
      <c r="AI620" s="15" t="s">
        <v>431</v>
      </c>
      <c r="AJ620" s="15" t="s">
        <v>421</v>
      </c>
      <c r="AK620" s="15">
        <v>1962</v>
      </c>
      <c r="AL620" s="15" t="s">
        <v>422</v>
      </c>
    </row>
    <row r="621" spans="1:39" x14ac:dyDescent="0.3">
      <c r="A621" s="1">
        <v>24</v>
      </c>
      <c r="B621" s="2">
        <v>24</v>
      </c>
      <c r="D621" s="2">
        <v>1</v>
      </c>
      <c r="E621" s="2">
        <v>20</v>
      </c>
      <c r="F621" s="2">
        <v>0</v>
      </c>
      <c r="K621" s="4">
        <v>1</v>
      </c>
      <c r="L621" s="2">
        <v>1825</v>
      </c>
      <c r="O621" s="17">
        <v>1825</v>
      </c>
      <c r="P621" s="7">
        <v>1</v>
      </c>
      <c r="R621" s="8">
        <v>4.5</v>
      </c>
      <c r="S621" s="8">
        <v>1</v>
      </c>
      <c r="Y621" s="12">
        <v>1</v>
      </c>
      <c r="AB621" s="2">
        <v>6.8</v>
      </c>
      <c r="AC621" s="2">
        <v>12.6</v>
      </c>
      <c r="AD621" s="68" t="s">
        <v>420</v>
      </c>
      <c r="AH621" s="80" t="s">
        <v>402</v>
      </c>
      <c r="AI621" s="15" t="s">
        <v>424</v>
      </c>
      <c r="AJ621" s="15" t="s">
        <v>421</v>
      </c>
      <c r="AK621" s="15">
        <v>1962</v>
      </c>
      <c r="AL621" s="15" t="s">
        <v>422</v>
      </c>
      <c r="AM621" s="15" t="s">
        <v>426</v>
      </c>
    </row>
    <row r="622" spans="1:39" x14ac:dyDescent="0.3">
      <c r="A622" s="1">
        <v>17</v>
      </c>
      <c r="B622" s="2">
        <v>17</v>
      </c>
      <c r="D622" s="2">
        <v>1</v>
      </c>
      <c r="E622" s="2">
        <v>20</v>
      </c>
      <c r="F622" s="2">
        <v>0</v>
      </c>
      <c r="K622" s="4">
        <v>1</v>
      </c>
      <c r="L622" s="2">
        <v>1825</v>
      </c>
      <c r="O622" s="17">
        <v>1825</v>
      </c>
      <c r="P622" s="7">
        <v>1</v>
      </c>
      <c r="R622" s="8">
        <v>4.5</v>
      </c>
      <c r="S622" s="8">
        <v>1</v>
      </c>
      <c r="Y622" s="12">
        <v>1</v>
      </c>
      <c r="AB622" s="2">
        <v>38</v>
      </c>
      <c r="AC622" s="2">
        <v>127</v>
      </c>
      <c r="AD622" s="68" t="s">
        <v>427</v>
      </c>
      <c r="AH622" s="80" t="s">
        <v>402</v>
      </c>
      <c r="AI622" s="15" t="s">
        <v>429</v>
      </c>
      <c r="AJ622" s="15" t="s">
        <v>421</v>
      </c>
      <c r="AK622" s="15">
        <v>1962</v>
      </c>
      <c r="AL622" s="15" t="s">
        <v>422</v>
      </c>
    </row>
    <row r="623" spans="1:39" x14ac:dyDescent="0.3">
      <c r="A623" s="1">
        <v>0</v>
      </c>
      <c r="B623" s="2">
        <v>114</v>
      </c>
      <c r="D623" s="2">
        <v>0</v>
      </c>
      <c r="F623" s="2">
        <v>0</v>
      </c>
      <c r="K623" s="4">
        <v>1</v>
      </c>
      <c r="L623" s="2">
        <v>2190</v>
      </c>
      <c r="Y623" s="12">
        <v>1</v>
      </c>
      <c r="AH623" s="80" t="s">
        <v>402</v>
      </c>
      <c r="AI623" s="15" t="s">
        <v>470</v>
      </c>
      <c r="AJ623" s="15" t="s">
        <v>469</v>
      </c>
      <c r="AK623" s="15">
        <v>1956</v>
      </c>
      <c r="AL623" s="15" t="s">
        <v>471</v>
      </c>
    </row>
    <row r="624" spans="1:39" x14ac:dyDescent="0.3">
      <c r="A624" s="1">
        <v>79</v>
      </c>
      <c r="D624" s="2">
        <v>2</v>
      </c>
      <c r="E624" s="2">
        <v>40</v>
      </c>
      <c r="F624" s="2">
        <v>0</v>
      </c>
      <c r="H624" s="2">
        <v>60</v>
      </c>
      <c r="I624" s="3">
        <v>5.4</v>
      </c>
      <c r="K624" s="4">
        <v>1</v>
      </c>
      <c r="L624" s="2">
        <v>450</v>
      </c>
      <c r="N624" s="6">
        <v>6.5</v>
      </c>
      <c r="O624" s="17">
        <v>450</v>
      </c>
      <c r="P624" s="7">
        <v>0.81</v>
      </c>
      <c r="R624" s="8">
        <v>5.0999999999999996</v>
      </c>
      <c r="T624" s="9">
        <v>10.1</v>
      </c>
      <c r="W624" s="10">
        <v>0.99</v>
      </c>
      <c r="X624" s="11">
        <v>540</v>
      </c>
      <c r="AI624" s="15" t="s">
        <v>114</v>
      </c>
      <c r="AJ624" s="15" t="s">
        <v>71</v>
      </c>
      <c r="AK624" s="15">
        <v>1997</v>
      </c>
      <c r="AL624" s="15" t="s">
        <v>72</v>
      </c>
    </row>
    <row r="625" spans="1:39" x14ac:dyDescent="0.3">
      <c r="A625" s="1">
        <v>79</v>
      </c>
      <c r="B625" s="2">
        <v>79</v>
      </c>
      <c r="D625" s="2">
        <v>2</v>
      </c>
      <c r="E625" s="2">
        <v>40</v>
      </c>
      <c r="F625" s="2">
        <v>1</v>
      </c>
      <c r="G625" s="3">
        <v>6.5</v>
      </c>
      <c r="H625" s="2">
        <v>60</v>
      </c>
      <c r="I625" s="3">
        <v>5.4</v>
      </c>
      <c r="K625" s="4">
        <v>1</v>
      </c>
      <c r="L625" s="2">
        <v>540</v>
      </c>
      <c r="N625" s="6">
        <v>6.5</v>
      </c>
      <c r="O625" s="17">
        <v>540</v>
      </c>
      <c r="P625" s="7">
        <v>0.99</v>
      </c>
      <c r="R625" s="8">
        <v>10.1</v>
      </c>
      <c r="Y625" s="12">
        <f>21/79</f>
        <v>0.26582278481012656</v>
      </c>
      <c r="AI625" s="15" t="s">
        <v>114</v>
      </c>
      <c r="AJ625" s="15" t="s">
        <v>71</v>
      </c>
      <c r="AK625" s="15">
        <v>1997</v>
      </c>
      <c r="AL625" s="15" t="s">
        <v>72</v>
      </c>
    </row>
    <row r="626" spans="1:39" x14ac:dyDescent="0.3">
      <c r="A626" s="1">
        <v>80</v>
      </c>
      <c r="D626" s="2">
        <v>2</v>
      </c>
      <c r="E626" s="2">
        <v>40</v>
      </c>
      <c r="F626" s="2">
        <v>0</v>
      </c>
      <c r="H626" s="2">
        <v>60</v>
      </c>
      <c r="I626" s="3">
        <v>5.2</v>
      </c>
      <c r="K626" s="4">
        <v>1</v>
      </c>
      <c r="L626" s="2">
        <v>180</v>
      </c>
      <c r="N626" s="6">
        <v>6.5</v>
      </c>
      <c r="O626" s="17">
        <v>180</v>
      </c>
      <c r="P626" s="7">
        <v>0.92</v>
      </c>
      <c r="R626" s="8">
        <v>5.5</v>
      </c>
      <c r="T626" s="9">
        <v>8.6</v>
      </c>
      <c r="X626" s="11">
        <v>270</v>
      </c>
      <c r="AI626" s="15" t="s">
        <v>115</v>
      </c>
      <c r="AJ626" s="15" t="s">
        <v>71</v>
      </c>
      <c r="AK626" s="15">
        <v>1997</v>
      </c>
      <c r="AL626" s="15" t="s">
        <v>72</v>
      </c>
    </row>
    <row r="627" spans="1:39" s="19" customFormat="1" x14ac:dyDescent="0.3">
      <c r="A627" s="1">
        <v>80</v>
      </c>
      <c r="B627" s="2"/>
      <c r="C627" s="68"/>
      <c r="D627" s="2">
        <v>2</v>
      </c>
      <c r="E627" s="2">
        <v>40</v>
      </c>
      <c r="F627" s="2">
        <v>1</v>
      </c>
      <c r="G627" s="3">
        <v>6.5</v>
      </c>
      <c r="H627" s="2">
        <v>60</v>
      </c>
      <c r="I627" s="3">
        <v>5.2</v>
      </c>
      <c r="J627" s="3"/>
      <c r="K627" s="4">
        <v>1</v>
      </c>
      <c r="L627" s="2">
        <v>450</v>
      </c>
      <c r="M627" s="5"/>
      <c r="N627" s="6">
        <v>6.5</v>
      </c>
      <c r="O627" s="17">
        <v>450</v>
      </c>
      <c r="P627" s="7">
        <v>0.94</v>
      </c>
      <c r="Q627" s="84"/>
      <c r="R627" s="8">
        <v>7.4</v>
      </c>
      <c r="S627" s="8"/>
      <c r="T627" s="9">
        <v>10.1</v>
      </c>
      <c r="U627" s="9"/>
      <c r="V627" s="10"/>
      <c r="W627" s="10">
        <v>0.96</v>
      </c>
      <c r="X627" s="11">
        <v>540</v>
      </c>
      <c r="Y627" s="12"/>
      <c r="Z627" s="13"/>
      <c r="AA627" s="3"/>
      <c r="AB627" s="2"/>
      <c r="AC627" s="2"/>
      <c r="AD627" s="68"/>
      <c r="AE627" s="14"/>
      <c r="AF627" s="80"/>
      <c r="AG627" s="80"/>
      <c r="AH627" s="80"/>
      <c r="AI627" s="15" t="s">
        <v>115</v>
      </c>
      <c r="AJ627" s="15" t="s">
        <v>71</v>
      </c>
      <c r="AK627" s="15">
        <v>1997</v>
      </c>
      <c r="AL627" s="15" t="s">
        <v>72</v>
      </c>
      <c r="AM627" s="15"/>
    </row>
    <row r="628" spans="1:39" s="19" customFormat="1" x14ac:dyDescent="0.3">
      <c r="A628" s="1">
        <v>80</v>
      </c>
      <c r="B628" s="2">
        <v>80</v>
      </c>
      <c r="C628" s="68"/>
      <c r="D628" s="2">
        <v>2</v>
      </c>
      <c r="E628" s="2">
        <v>40</v>
      </c>
      <c r="F628" s="2">
        <v>2</v>
      </c>
      <c r="G628" s="3">
        <v>6.5</v>
      </c>
      <c r="H628" s="2">
        <v>60</v>
      </c>
      <c r="I628" s="3">
        <v>5.2</v>
      </c>
      <c r="J628" s="3"/>
      <c r="K628" s="70">
        <v>1</v>
      </c>
      <c r="L628" s="2">
        <v>540</v>
      </c>
      <c r="M628" s="5"/>
      <c r="N628" s="6">
        <v>6.5</v>
      </c>
      <c r="O628" s="17">
        <v>540</v>
      </c>
      <c r="P628" s="7">
        <v>0.96</v>
      </c>
      <c r="Q628" s="84"/>
      <c r="R628" s="8">
        <v>10.1</v>
      </c>
      <c r="S628" s="8"/>
      <c r="T628" s="9"/>
      <c r="U628" s="9"/>
      <c r="V628" s="10"/>
      <c r="W628" s="10"/>
      <c r="X628" s="11"/>
      <c r="Y628" s="12">
        <f>11/80</f>
        <v>0.13750000000000001</v>
      </c>
      <c r="Z628" s="13"/>
      <c r="AA628" s="3"/>
      <c r="AB628" s="2"/>
      <c r="AC628" s="2"/>
      <c r="AD628" s="68"/>
      <c r="AE628" s="14"/>
      <c r="AF628" s="80"/>
      <c r="AG628" s="80"/>
      <c r="AH628" s="80"/>
      <c r="AI628" s="15" t="s">
        <v>115</v>
      </c>
      <c r="AJ628" s="15" t="s">
        <v>71</v>
      </c>
      <c r="AK628" s="15">
        <v>1997</v>
      </c>
      <c r="AL628" s="15" t="s">
        <v>72</v>
      </c>
      <c r="AM628" s="15"/>
    </row>
    <row r="629" spans="1:39" s="19" customFormat="1" x14ac:dyDescent="0.3">
      <c r="A629" s="1">
        <v>70</v>
      </c>
      <c r="B629" s="2"/>
      <c r="C629" s="68">
        <v>1</v>
      </c>
      <c r="D629" s="2">
        <v>1</v>
      </c>
      <c r="E629" s="2">
        <v>40</v>
      </c>
      <c r="F629" s="2">
        <v>0</v>
      </c>
      <c r="G629" s="3">
        <v>6.5</v>
      </c>
      <c r="H629" s="2">
        <v>60</v>
      </c>
      <c r="I629" s="3">
        <v>5.3</v>
      </c>
      <c r="J629" s="3"/>
      <c r="K629" s="70">
        <v>1</v>
      </c>
      <c r="L629" s="2">
        <v>180</v>
      </c>
      <c r="M629" s="5"/>
      <c r="N629" s="6">
        <v>6.5</v>
      </c>
      <c r="O629" s="17">
        <v>180</v>
      </c>
      <c r="P629" s="7">
        <v>0.96</v>
      </c>
      <c r="Q629" s="84"/>
      <c r="R629" s="8">
        <v>7.9</v>
      </c>
      <c r="S629" s="8"/>
      <c r="T629" s="9">
        <v>8.6</v>
      </c>
      <c r="U629" s="9"/>
      <c r="V629" s="10"/>
      <c r="W629" s="10"/>
      <c r="X629" s="11">
        <v>270</v>
      </c>
      <c r="Y629" s="12"/>
      <c r="Z629" s="13"/>
      <c r="AA629" s="3"/>
      <c r="AB629" s="2"/>
      <c r="AC629" s="2"/>
      <c r="AD629" s="68"/>
      <c r="AE629" s="14"/>
      <c r="AF629" s="80"/>
      <c r="AG629" s="80"/>
      <c r="AH629" s="80"/>
      <c r="AI629" s="15" t="s">
        <v>117</v>
      </c>
      <c r="AJ629" s="15" t="s">
        <v>71</v>
      </c>
      <c r="AK629" s="15">
        <v>1997</v>
      </c>
      <c r="AL629" s="15" t="s">
        <v>72</v>
      </c>
      <c r="AM629" s="15"/>
    </row>
    <row r="630" spans="1:39" s="19" customFormat="1" x14ac:dyDescent="0.3">
      <c r="A630" s="1">
        <v>70</v>
      </c>
      <c r="B630" s="2"/>
      <c r="C630" s="68">
        <v>1</v>
      </c>
      <c r="D630" s="2">
        <v>1</v>
      </c>
      <c r="E630" s="2">
        <v>40</v>
      </c>
      <c r="F630" s="2">
        <v>1</v>
      </c>
      <c r="G630" s="3">
        <v>6.5</v>
      </c>
      <c r="H630" s="2">
        <v>60</v>
      </c>
      <c r="I630" s="3">
        <v>5.3</v>
      </c>
      <c r="J630" s="3"/>
      <c r="K630" s="70">
        <v>1</v>
      </c>
      <c r="L630" s="2">
        <v>450</v>
      </c>
      <c r="M630" s="5"/>
      <c r="N630" s="6">
        <v>6.5</v>
      </c>
      <c r="O630" s="17">
        <v>450</v>
      </c>
      <c r="P630" s="7">
        <v>0.94</v>
      </c>
      <c r="Q630" s="84"/>
      <c r="R630" s="8">
        <v>8.1</v>
      </c>
      <c r="S630" s="8"/>
      <c r="T630" s="9">
        <v>9.8000000000000007</v>
      </c>
      <c r="U630" s="9"/>
      <c r="V630" s="10"/>
      <c r="W630" s="10">
        <v>0.99</v>
      </c>
      <c r="X630" s="11">
        <v>540</v>
      </c>
      <c r="Y630" s="12"/>
      <c r="Z630" s="13"/>
      <c r="AA630" s="3"/>
      <c r="AB630" s="2"/>
      <c r="AC630" s="2"/>
      <c r="AD630" s="68"/>
      <c r="AE630" s="14"/>
      <c r="AF630" s="80"/>
      <c r="AG630" s="80"/>
      <c r="AH630" s="80"/>
      <c r="AI630" s="15" t="s">
        <v>117</v>
      </c>
      <c r="AJ630" s="15" t="s">
        <v>71</v>
      </c>
      <c r="AK630" s="15">
        <v>1997</v>
      </c>
      <c r="AL630" s="15" t="s">
        <v>72</v>
      </c>
      <c r="AM630" s="15"/>
    </row>
    <row r="631" spans="1:39" s="19" customFormat="1" x14ac:dyDescent="0.3">
      <c r="A631" s="1">
        <v>70</v>
      </c>
      <c r="B631" s="2">
        <v>70</v>
      </c>
      <c r="C631" s="68">
        <v>1</v>
      </c>
      <c r="D631" s="2">
        <v>1</v>
      </c>
      <c r="E631" s="2">
        <v>40</v>
      </c>
      <c r="F631" s="2">
        <v>2</v>
      </c>
      <c r="G631" s="3">
        <v>6.5</v>
      </c>
      <c r="H631" s="2">
        <v>60</v>
      </c>
      <c r="I631" s="3">
        <v>5.3</v>
      </c>
      <c r="J631" s="3"/>
      <c r="K631" s="70">
        <v>1</v>
      </c>
      <c r="L631" s="2">
        <v>540</v>
      </c>
      <c r="M631" s="5"/>
      <c r="N631" s="6">
        <v>6.5</v>
      </c>
      <c r="O631" s="17">
        <v>540</v>
      </c>
      <c r="P631" s="7">
        <v>0.99</v>
      </c>
      <c r="Q631" s="84"/>
      <c r="R631" s="8">
        <v>9.8000000000000007</v>
      </c>
      <c r="S631" s="8"/>
      <c r="T631" s="9"/>
      <c r="U631" s="9"/>
      <c r="V631" s="10"/>
      <c r="W631" s="10"/>
      <c r="X631" s="11"/>
      <c r="Y631" s="12">
        <f>10/70</f>
        <v>0.14285714285714285</v>
      </c>
      <c r="Z631" s="13"/>
      <c r="AA631" s="3"/>
      <c r="AB631" s="2"/>
      <c r="AC631" s="2"/>
      <c r="AD631" s="68"/>
      <c r="AE631" s="14"/>
      <c r="AF631" s="80"/>
      <c r="AG631" s="80"/>
      <c r="AH631" s="80"/>
      <c r="AI631" s="15" t="s">
        <v>117</v>
      </c>
      <c r="AJ631" s="15" t="s">
        <v>71</v>
      </c>
      <c r="AK631" s="15">
        <v>1997</v>
      </c>
      <c r="AL631" s="15" t="s">
        <v>72</v>
      </c>
      <c r="AM631" s="15"/>
    </row>
    <row r="632" spans="1:39" s="19" customFormat="1" x14ac:dyDescent="0.3">
      <c r="A632" s="1">
        <v>74</v>
      </c>
      <c r="B632" s="2"/>
      <c r="C632" s="68"/>
      <c r="D632" s="2">
        <v>2</v>
      </c>
      <c r="E632" s="2">
        <v>40</v>
      </c>
      <c r="F632" s="2">
        <v>0</v>
      </c>
      <c r="G632" s="3"/>
      <c r="H632" s="2">
        <v>60</v>
      </c>
      <c r="I632" s="3">
        <v>5.0999999999999996</v>
      </c>
      <c r="J632" s="3"/>
      <c r="K632" s="70">
        <v>1</v>
      </c>
      <c r="L632" s="2">
        <v>450</v>
      </c>
      <c r="M632" s="5">
        <v>40</v>
      </c>
      <c r="N632" s="6"/>
      <c r="O632" s="17">
        <v>450</v>
      </c>
      <c r="P632" s="7">
        <v>0.81</v>
      </c>
      <c r="Q632" s="84"/>
      <c r="R632" s="8">
        <v>5</v>
      </c>
      <c r="S632" s="8"/>
      <c r="T632" s="9">
        <v>10.9</v>
      </c>
      <c r="U632" s="9"/>
      <c r="V632" s="10"/>
      <c r="W632" s="10">
        <v>0.99</v>
      </c>
      <c r="X632" s="11">
        <v>540</v>
      </c>
      <c r="Y632" s="12"/>
      <c r="Z632" s="13"/>
      <c r="AA632" s="3"/>
      <c r="AB632" s="2"/>
      <c r="AC632" s="2"/>
      <c r="AD632" s="68"/>
      <c r="AE632" s="14"/>
      <c r="AF632" s="80"/>
      <c r="AG632" s="80"/>
      <c r="AH632" s="80"/>
      <c r="AI632" s="15" t="s">
        <v>116</v>
      </c>
      <c r="AJ632" s="15" t="s">
        <v>71</v>
      </c>
      <c r="AK632" s="15">
        <v>1997</v>
      </c>
      <c r="AL632" s="15" t="s">
        <v>72</v>
      </c>
      <c r="AM632" s="15"/>
    </row>
    <row r="633" spans="1:39" s="19" customFormat="1" x14ac:dyDescent="0.3">
      <c r="A633" s="1">
        <v>74</v>
      </c>
      <c r="B633" s="2">
        <v>74</v>
      </c>
      <c r="C633" s="68"/>
      <c r="D633" s="2">
        <v>3</v>
      </c>
      <c r="E633" s="2">
        <v>40</v>
      </c>
      <c r="F633" s="2">
        <v>0</v>
      </c>
      <c r="G633" s="3"/>
      <c r="H633" s="2">
        <v>60</v>
      </c>
      <c r="I633" s="3">
        <v>5.0999999999999996</v>
      </c>
      <c r="J633" s="3"/>
      <c r="K633" s="70">
        <v>1</v>
      </c>
      <c r="L633" s="2">
        <v>540</v>
      </c>
      <c r="M633" s="5"/>
      <c r="N633" s="6">
        <v>6.5</v>
      </c>
      <c r="O633" s="17">
        <v>540</v>
      </c>
      <c r="P633" s="7">
        <v>0.99</v>
      </c>
      <c r="Q633" s="84"/>
      <c r="R633" s="8">
        <v>10.9</v>
      </c>
      <c r="S633" s="8"/>
      <c r="T633" s="9"/>
      <c r="U633" s="9"/>
      <c r="V633" s="10"/>
      <c r="W633" s="10"/>
      <c r="X633" s="11"/>
      <c r="Y633" s="12">
        <f>13/74</f>
        <v>0.17567567567567569</v>
      </c>
      <c r="Z633" s="13"/>
      <c r="AA633" s="3"/>
      <c r="AB633" s="2"/>
      <c r="AC633" s="2"/>
      <c r="AD633" s="68"/>
      <c r="AE633" s="14"/>
      <c r="AF633" s="80"/>
      <c r="AG633" s="80"/>
      <c r="AH633" s="80"/>
      <c r="AI633" s="15" t="s">
        <v>116</v>
      </c>
      <c r="AJ633" s="15" t="s">
        <v>71</v>
      </c>
      <c r="AK633" s="15">
        <v>1997</v>
      </c>
      <c r="AL633" s="15" t="s">
        <v>72</v>
      </c>
      <c r="AM633" s="15"/>
    </row>
    <row r="634" spans="1:39" s="19" customFormat="1" x14ac:dyDescent="0.3">
      <c r="A634" s="1">
        <v>103</v>
      </c>
      <c r="B634" s="2"/>
      <c r="C634" s="68"/>
      <c r="D634" s="2">
        <v>0</v>
      </c>
      <c r="E634" s="2"/>
      <c r="F634" s="2">
        <v>1</v>
      </c>
      <c r="G634" s="3">
        <v>6.5</v>
      </c>
      <c r="H634" s="2"/>
      <c r="I634" s="3"/>
      <c r="J634" s="3"/>
      <c r="K634" s="70">
        <v>1</v>
      </c>
      <c r="L634" s="2">
        <v>120</v>
      </c>
      <c r="M634" s="5"/>
      <c r="N634" s="6">
        <v>6.5</v>
      </c>
      <c r="O634" s="17"/>
      <c r="P634" s="7"/>
      <c r="Q634" s="84"/>
      <c r="R634" s="8"/>
      <c r="S634" s="8"/>
      <c r="T634" s="9">
        <v>7.38</v>
      </c>
      <c r="U634" s="9"/>
      <c r="V634" s="10"/>
      <c r="W634" s="10">
        <v>0.95</v>
      </c>
      <c r="X634" s="11">
        <v>180</v>
      </c>
      <c r="Y634" s="12"/>
      <c r="Z634" s="13"/>
      <c r="AA634" s="3"/>
      <c r="AB634" s="2"/>
      <c r="AC634" s="2"/>
      <c r="AD634" s="68"/>
      <c r="AE634" s="14"/>
      <c r="AF634" s="80"/>
      <c r="AG634" s="80"/>
      <c r="AH634" s="80"/>
      <c r="AI634" s="15" t="s">
        <v>172</v>
      </c>
      <c r="AJ634" s="15" t="s">
        <v>71</v>
      </c>
      <c r="AK634" s="15">
        <v>1997</v>
      </c>
      <c r="AL634" s="15" t="s">
        <v>72</v>
      </c>
      <c r="AM634" s="15" t="s">
        <v>196</v>
      </c>
    </row>
    <row r="635" spans="1:39" s="19" customFormat="1" x14ac:dyDescent="0.3">
      <c r="A635" s="1">
        <v>73</v>
      </c>
      <c r="B635" s="2"/>
      <c r="C635" s="68"/>
      <c r="D635" s="2">
        <v>0</v>
      </c>
      <c r="E635" s="2"/>
      <c r="F635" s="2">
        <v>2</v>
      </c>
      <c r="G635" s="3">
        <v>6.5</v>
      </c>
      <c r="H635" s="2"/>
      <c r="I635" s="3"/>
      <c r="J635" s="3"/>
      <c r="K635" s="70">
        <v>1</v>
      </c>
      <c r="L635" s="2">
        <v>450</v>
      </c>
      <c r="M635" s="5"/>
      <c r="N635" s="6">
        <v>6.5</v>
      </c>
      <c r="O635" s="17">
        <v>450</v>
      </c>
      <c r="P635" s="7">
        <v>0.88</v>
      </c>
      <c r="Q635" s="84"/>
      <c r="R635" s="8">
        <v>7.06</v>
      </c>
      <c r="S635" s="8"/>
      <c r="T635" s="9">
        <v>9.02</v>
      </c>
      <c r="U635" s="9"/>
      <c r="V635" s="10"/>
      <c r="W635" s="10">
        <v>0.96</v>
      </c>
      <c r="X635" s="11">
        <v>540</v>
      </c>
      <c r="Y635" s="12"/>
      <c r="Z635" s="13"/>
      <c r="AA635" s="3"/>
      <c r="AB635" s="2"/>
      <c r="AC635" s="2"/>
      <c r="AD635" s="68"/>
      <c r="AE635" s="14"/>
      <c r="AF635" s="80"/>
      <c r="AG635" s="80"/>
      <c r="AH635" s="80"/>
      <c r="AI635" s="15" t="s">
        <v>172</v>
      </c>
      <c r="AJ635" s="15" t="s">
        <v>71</v>
      </c>
      <c r="AK635" s="15">
        <v>1997</v>
      </c>
      <c r="AL635" s="15" t="s">
        <v>72</v>
      </c>
      <c r="AM635" s="15"/>
    </row>
    <row r="636" spans="1:39" s="19" customFormat="1" x14ac:dyDescent="0.3">
      <c r="A636" s="1">
        <v>73</v>
      </c>
      <c r="B636" s="2">
        <v>73</v>
      </c>
      <c r="C636" s="68"/>
      <c r="D636" s="2">
        <v>0</v>
      </c>
      <c r="E636" s="2"/>
      <c r="F636" s="2">
        <v>3</v>
      </c>
      <c r="G636" s="3">
        <v>6.5</v>
      </c>
      <c r="H636" s="2"/>
      <c r="I636" s="3"/>
      <c r="J636" s="3"/>
      <c r="K636" s="70">
        <v>1</v>
      </c>
      <c r="L636" s="2">
        <v>540</v>
      </c>
      <c r="M636" s="5"/>
      <c r="N636" s="6">
        <v>6.5</v>
      </c>
      <c r="O636" s="17">
        <v>540</v>
      </c>
      <c r="P636" s="7">
        <v>0.96</v>
      </c>
      <c r="Q636" s="84"/>
      <c r="R636" s="8">
        <v>9.02</v>
      </c>
      <c r="S636" s="8"/>
      <c r="T636" s="9"/>
      <c r="U636" s="9"/>
      <c r="V636" s="10"/>
      <c r="W636" s="10"/>
      <c r="X636" s="11"/>
      <c r="Y636" s="12">
        <v>0.04</v>
      </c>
      <c r="Z636" s="13"/>
      <c r="AA636" s="3"/>
      <c r="AB636" s="2"/>
      <c r="AC636" s="2"/>
      <c r="AD636" s="68"/>
      <c r="AE636" s="14"/>
      <c r="AF636" s="80"/>
      <c r="AG636" s="80"/>
      <c r="AH636" s="80"/>
      <c r="AI636" s="15" t="s">
        <v>172</v>
      </c>
      <c r="AJ636" s="15" t="s">
        <v>71</v>
      </c>
      <c r="AK636" s="15">
        <v>1997</v>
      </c>
      <c r="AL636" s="15" t="s">
        <v>72</v>
      </c>
      <c r="AM636" s="15" t="s">
        <v>173</v>
      </c>
    </row>
    <row r="637" spans="1:39" s="19" customFormat="1" x14ac:dyDescent="0.3">
      <c r="A637" s="1">
        <v>79</v>
      </c>
      <c r="B637" s="2"/>
      <c r="C637" s="68"/>
      <c r="D637" s="2">
        <v>2</v>
      </c>
      <c r="E637" s="2">
        <v>8</v>
      </c>
      <c r="F637" s="2">
        <v>0</v>
      </c>
      <c r="G637" s="3"/>
      <c r="H637" s="2">
        <v>60</v>
      </c>
      <c r="I637" s="3">
        <v>4.0999999999999996</v>
      </c>
      <c r="J637" s="3"/>
      <c r="K637" s="70">
        <v>2</v>
      </c>
      <c r="L637" s="2">
        <v>450</v>
      </c>
      <c r="M637" s="5"/>
      <c r="N637" s="6">
        <v>5.4</v>
      </c>
      <c r="O637" s="17">
        <v>450</v>
      </c>
      <c r="P637" s="7">
        <v>0.92</v>
      </c>
      <c r="Q637" s="84"/>
      <c r="R637" s="8">
        <v>7.9</v>
      </c>
      <c r="S637" s="8"/>
      <c r="T637" s="9">
        <v>13.2</v>
      </c>
      <c r="U637" s="9"/>
      <c r="V637" s="10"/>
      <c r="W637" s="10">
        <v>1</v>
      </c>
      <c r="X637" s="11">
        <v>540</v>
      </c>
      <c r="Y637" s="12"/>
      <c r="Z637" s="13"/>
      <c r="AA637" s="3"/>
      <c r="AB637" s="2"/>
      <c r="AC637" s="2"/>
      <c r="AD637" s="68"/>
      <c r="AE637" s="14"/>
      <c r="AF637" s="80"/>
      <c r="AG637" s="80"/>
      <c r="AH637" s="80"/>
      <c r="AI637" s="15" t="s">
        <v>114</v>
      </c>
      <c r="AJ637" s="15" t="s">
        <v>71</v>
      </c>
      <c r="AK637" s="15">
        <v>1997</v>
      </c>
      <c r="AL637" s="15" t="s">
        <v>72</v>
      </c>
      <c r="AM637" s="15"/>
    </row>
    <row r="638" spans="1:39" s="19" customFormat="1" x14ac:dyDescent="0.3">
      <c r="A638" s="1">
        <v>79</v>
      </c>
      <c r="B638" s="2">
        <v>79</v>
      </c>
      <c r="C638" s="68"/>
      <c r="D638" s="2">
        <v>2</v>
      </c>
      <c r="E638" s="2">
        <v>8</v>
      </c>
      <c r="F638" s="2">
        <v>1</v>
      </c>
      <c r="G638" s="3">
        <v>5.5</v>
      </c>
      <c r="H638" s="2">
        <v>60</v>
      </c>
      <c r="I638" s="3">
        <v>4.0999999999999996</v>
      </c>
      <c r="J638" s="3"/>
      <c r="K638" s="70">
        <v>2</v>
      </c>
      <c r="L638" s="2">
        <v>540</v>
      </c>
      <c r="M638" s="5"/>
      <c r="N638" s="6">
        <v>5.4</v>
      </c>
      <c r="O638" s="17">
        <v>540</v>
      </c>
      <c r="P638" s="7">
        <v>1</v>
      </c>
      <c r="Q638" s="84"/>
      <c r="R638" s="8">
        <v>13.2</v>
      </c>
      <c r="S638" s="8"/>
      <c r="T638" s="9"/>
      <c r="U638" s="9"/>
      <c r="V638" s="10"/>
      <c r="W638" s="10"/>
      <c r="X638" s="11"/>
      <c r="Y638" s="12">
        <f>9/79</f>
        <v>0.11392405063291139</v>
      </c>
      <c r="Z638" s="13"/>
      <c r="AA638" s="3"/>
      <c r="AB638" s="2"/>
      <c r="AC638" s="2"/>
      <c r="AD638" s="68"/>
      <c r="AE638" s="14"/>
      <c r="AF638" s="80"/>
      <c r="AG638" s="80"/>
      <c r="AH638" s="80"/>
      <c r="AI638" s="15" t="s">
        <v>114</v>
      </c>
      <c r="AJ638" s="15" t="s">
        <v>71</v>
      </c>
      <c r="AK638" s="15">
        <v>1997</v>
      </c>
      <c r="AL638" s="15" t="s">
        <v>72</v>
      </c>
      <c r="AM638" s="15"/>
    </row>
    <row r="639" spans="1:39" s="19" customFormat="1" x14ac:dyDescent="0.3">
      <c r="A639" s="1">
        <v>80</v>
      </c>
      <c r="B639" s="2"/>
      <c r="C639" s="68"/>
      <c r="D639" s="2">
        <v>2</v>
      </c>
      <c r="E639" s="2">
        <v>8</v>
      </c>
      <c r="F639" s="2">
        <v>0</v>
      </c>
      <c r="G639" s="3"/>
      <c r="H639" s="2">
        <v>60</v>
      </c>
      <c r="I639" s="3">
        <v>4.0999999999999996</v>
      </c>
      <c r="J639" s="3"/>
      <c r="K639" s="70">
        <v>2</v>
      </c>
      <c r="L639" s="2">
        <v>180</v>
      </c>
      <c r="M639" s="5"/>
      <c r="N639" s="6">
        <v>5.4</v>
      </c>
      <c r="O639" s="17">
        <v>180</v>
      </c>
      <c r="P639" s="7">
        <v>0.94</v>
      </c>
      <c r="Q639" s="84"/>
      <c r="R639" s="8">
        <v>8.1</v>
      </c>
      <c r="S639" s="8"/>
      <c r="T639" s="9">
        <v>11.7</v>
      </c>
      <c r="U639" s="9"/>
      <c r="V639" s="10"/>
      <c r="W639" s="10"/>
      <c r="X639" s="11">
        <v>270</v>
      </c>
      <c r="Y639" s="12"/>
      <c r="Z639" s="13"/>
      <c r="AA639" s="3"/>
      <c r="AB639" s="2"/>
      <c r="AC639" s="2"/>
      <c r="AD639" s="68"/>
      <c r="AE639" s="14"/>
      <c r="AF639" s="80"/>
      <c r="AG639" s="80"/>
      <c r="AH639" s="80"/>
      <c r="AI639" s="15" t="s">
        <v>115</v>
      </c>
      <c r="AJ639" s="15" t="s">
        <v>71</v>
      </c>
      <c r="AK639" s="15">
        <v>1997</v>
      </c>
      <c r="AL639" s="15" t="s">
        <v>72</v>
      </c>
      <c r="AM639" s="15"/>
    </row>
    <row r="640" spans="1:39" s="19" customFormat="1" x14ac:dyDescent="0.3">
      <c r="A640" s="1">
        <v>80</v>
      </c>
      <c r="B640" s="2"/>
      <c r="C640" s="68"/>
      <c r="D640" s="2">
        <v>2</v>
      </c>
      <c r="E640" s="2">
        <v>8</v>
      </c>
      <c r="F640" s="2">
        <v>1</v>
      </c>
      <c r="G640" s="3">
        <v>5.5</v>
      </c>
      <c r="H640" s="2">
        <v>60</v>
      </c>
      <c r="I640" s="3">
        <v>4.0999999999999996</v>
      </c>
      <c r="J640" s="3"/>
      <c r="K640" s="70">
        <v>2</v>
      </c>
      <c r="L640" s="2">
        <v>450</v>
      </c>
      <c r="M640" s="5"/>
      <c r="N640" s="6">
        <v>5.4</v>
      </c>
      <c r="O640" s="17">
        <v>450</v>
      </c>
      <c r="P640" s="7">
        <v>1</v>
      </c>
      <c r="Q640" s="84"/>
      <c r="R640" s="8">
        <v>10.1</v>
      </c>
      <c r="S640" s="8"/>
      <c r="T640" s="9">
        <v>12.2</v>
      </c>
      <c r="U640" s="9"/>
      <c r="V640" s="10"/>
      <c r="W640" s="10">
        <v>0.99</v>
      </c>
      <c r="X640" s="11">
        <v>540</v>
      </c>
      <c r="Y640" s="12"/>
      <c r="Z640" s="13"/>
      <c r="AA640" s="3"/>
      <c r="AB640" s="2"/>
      <c r="AC640" s="2"/>
      <c r="AD640" s="68"/>
      <c r="AE640" s="14"/>
      <c r="AF640" s="80"/>
      <c r="AG640" s="80"/>
      <c r="AH640" s="80"/>
      <c r="AI640" s="15" t="s">
        <v>115</v>
      </c>
      <c r="AJ640" s="15" t="s">
        <v>71</v>
      </c>
      <c r="AK640" s="15">
        <v>1997</v>
      </c>
      <c r="AL640" s="15" t="s">
        <v>72</v>
      </c>
      <c r="AM640" s="15"/>
    </row>
    <row r="641" spans="1:39" s="19" customFormat="1" x14ac:dyDescent="0.3">
      <c r="A641" s="1">
        <v>80</v>
      </c>
      <c r="B641" s="2">
        <v>80</v>
      </c>
      <c r="C641" s="68"/>
      <c r="D641" s="2">
        <v>2</v>
      </c>
      <c r="E641" s="2">
        <v>8</v>
      </c>
      <c r="F641" s="2">
        <v>2</v>
      </c>
      <c r="G641" s="3">
        <v>5.5</v>
      </c>
      <c r="H641" s="2">
        <v>60</v>
      </c>
      <c r="I641" s="3">
        <v>4.0999999999999996</v>
      </c>
      <c r="J641" s="3"/>
      <c r="K641" s="70">
        <v>2</v>
      </c>
      <c r="L641" s="2">
        <v>540</v>
      </c>
      <c r="M641" s="5"/>
      <c r="N641" s="6">
        <v>5.4</v>
      </c>
      <c r="O641" s="17">
        <v>540</v>
      </c>
      <c r="P641" s="7">
        <v>0.99</v>
      </c>
      <c r="Q641" s="84"/>
      <c r="R641" s="8">
        <v>12.2</v>
      </c>
      <c r="S641" s="8"/>
      <c r="T641" s="9"/>
      <c r="U641" s="9"/>
      <c r="V641" s="10"/>
      <c r="W641" s="10"/>
      <c r="X641" s="11"/>
      <c r="Y641" s="12">
        <f>3/80</f>
        <v>3.7499999999999999E-2</v>
      </c>
      <c r="Z641" s="13"/>
      <c r="AA641" s="3"/>
      <c r="AB641" s="2"/>
      <c r="AC641" s="2"/>
      <c r="AD641" s="68"/>
      <c r="AE641" s="14"/>
      <c r="AF641" s="80"/>
      <c r="AG641" s="80"/>
      <c r="AH641" s="80"/>
      <c r="AI641" s="15" t="s">
        <v>115</v>
      </c>
      <c r="AJ641" s="15" t="s">
        <v>71</v>
      </c>
      <c r="AK641" s="15">
        <v>1997</v>
      </c>
      <c r="AL641" s="15" t="s">
        <v>72</v>
      </c>
      <c r="AM641" s="15"/>
    </row>
    <row r="642" spans="1:39" s="21" customFormat="1" x14ac:dyDescent="0.3">
      <c r="A642" s="1">
        <v>70</v>
      </c>
      <c r="B642" s="2"/>
      <c r="C642" s="68">
        <v>1</v>
      </c>
      <c r="D642" s="2">
        <v>1</v>
      </c>
      <c r="E642" s="2">
        <v>8</v>
      </c>
      <c r="F642" s="2">
        <v>0</v>
      </c>
      <c r="G642" s="3">
        <v>5.5</v>
      </c>
      <c r="H642" s="2">
        <v>60</v>
      </c>
      <c r="I642" s="3">
        <v>3.4</v>
      </c>
      <c r="J642" s="3"/>
      <c r="K642" s="70">
        <v>2</v>
      </c>
      <c r="L642" s="2">
        <v>180</v>
      </c>
      <c r="M642" s="5"/>
      <c r="N642" s="6">
        <v>5.4</v>
      </c>
      <c r="O642" s="17">
        <v>180</v>
      </c>
      <c r="P642" s="7">
        <v>1</v>
      </c>
      <c r="Q642" s="84"/>
      <c r="R642" s="8">
        <v>11.6</v>
      </c>
      <c r="S642" s="8"/>
      <c r="T642" s="9">
        <v>11</v>
      </c>
      <c r="U642" s="9"/>
      <c r="V642" s="10"/>
      <c r="W642" s="10"/>
      <c r="X642" s="11">
        <v>270</v>
      </c>
      <c r="Y642" s="12"/>
      <c r="Z642" s="13"/>
      <c r="AA642" s="3"/>
      <c r="AB642" s="2"/>
      <c r="AC642" s="2"/>
      <c r="AD642" s="68"/>
      <c r="AE642" s="14"/>
      <c r="AF642" s="80"/>
      <c r="AG642" s="80"/>
      <c r="AH642" s="80"/>
      <c r="AI642" s="15" t="s">
        <v>117</v>
      </c>
      <c r="AJ642" s="15" t="s">
        <v>71</v>
      </c>
      <c r="AK642" s="15">
        <v>1997</v>
      </c>
      <c r="AL642" s="15" t="s">
        <v>72</v>
      </c>
      <c r="AM642" s="15"/>
    </row>
    <row r="643" spans="1:39" s="21" customFormat="1" x14ac:dyDescent="0.3">
      <c r="A643" s="1">
        <v>70</v>
      </c>
      <c r="B643" s="2"/>
      <c r="C643" s="68">
        <v>1</v>
      </c>
      <c r="D643" s="2">
        <v>1</v>
      </c>
      <c r="E643" s="2">
        <v>8</v>
      </c>
      <c r="F643" s="2">
        <v>1</v>
      </c>
      <c r="G643" s="3">
        <v>5.5</v>
      </c>
      <c r="H643" s="2">
        <v>60</v>
      </c>
      <c r="I643" s="3">
        <v>3.4</v>
      </c>
      <c r="J643" s="3"/>
      <c r="K643" s="70">
        <v>2</v>
      </c>
      <c r="L643" s="2">
        <v>450</v>
      </c>
      <c r="M643" s="5"/>
      <c r="N643" s="6">
        <v>5.4</v>
      </c>
      <c r="O643" s="17">
        <v>450</v>
      </c>
      <c r="P643" s="7">
        <v>0.99</v>
      </c>
      <c r="Q643" s="84"/>
      <c r="R643" s="8">
        <v>10.6</v>
      </c>
      <c r="S643" s="8"/>
      <c r="T643" s="9">
        <v>12.1</v>
      </c>
      <c r="U643" s="9"/>
      <c r="V643" s="10"/>
      <c r="W643" s="10">
        <v>1</v>
      </c>
      <c r="X643" s="11">
        <v>540</v>
      </c>
      <c r="Y643" s="12"/>
      <c r="Z643" s="13"/>
      <c r="AA643" s="3"/>
      <c r="AB643" s="2"/>
      <c r="AC643" s="2"/>
      <c r="AD643" s="68"/>
      <c r="AE643" s="14"/>
      <c r="AF643" s="80"/>
      <c r="AG643" s="80"/>
      <c r="AH643" s="80"/>
      <c r="AI643" s="15" t="s">
        <v>117</v>
      </c>
      <c r="AJ643" s="15" t="s">
        <v>71</v>
      </c>
      <c r="AK643" s="15">
        <v>1997</v>
      </c>
      <c r="AL643" s="15" t="s">
        <v>72</v>
      </c>
      <c r="AM643" s="15"/>
    </row>
    <row r="644" spans="1:39" s="21" customFormat="1" x14ac:dyDescent="0.3">
      <c r="A644" s="1">
        <v>70</v>
      </c>
      <c r="B644" s="2">
        <v>70</v>
      </c>
      <c r="C644" s="68">
        <v>1</v>
      </c>
      <c r="D644" s="2">
        <v>1</v>
      </c>
      <c r="E644" s="2">
        <v>8</v>
      </c>
      <c r="F644" s="2">
        <v>2</v>
      </c>
      <c r="G644" s="3">
        <v>5.5</v>
      </c>
      <c r="H644" s="2">
        <v>60</v>
      </c>
      <c r="I644" s="3">
        <v>3.4</v>
      </c>
      <c r="J644" s="3"/>
      <c r="K644" s="70">
        <v>2</v>
      </c>
      <c r="L644" s="2">
        <v>540</v>
      </c>
      <c r="M644" s="5"/>
      <c r="N644" s="6">
        <v>5.4</v>
      </c>
      <c r="O644" s="17">
        <v>540</v>
      </c>
      <c r="P644" s="7">
        <v>1</v>
      </c>
      <c r="Q644" s="84"/>
      <c r="R644" s="8">
        <v>12.1</v>
      </c>
      <c r="S644" s="8"/>
      <c r="T644" s="9"/>
      <c r="U644" s="9"/>
      <c r="V644" s="10"/>
      <c r="W644" s="10"/>
      <c r="X644" s="11"/>
      <c r="Y644" s="12">
        <f>2/70</f>
        <v>2.8571428571428571E-2</v>
      </c>
      <c r="Z644" s="13"/>
      <c r="AA644" s="3"/>
      <c r="AB644" s="2"/>
      <c r="AC644" s="2"/>
      <c r="AD644" s="68"/>
      <c r="AE644" s="14"/>
      <c r="AF644" s="80"/>
      <c r="AG644" s="80"/>
      <c r="AH644" s="80"/>
      <c r="AI644" s="15" t="s">
        <v>117</v>
      </c>
      <c r="AJ644" s="15" t="s">
        <v>71</v>
      </c>
      <c r="AK644" s="15">
        <v>1997</v>
      </c>
      <c r="AL644" s="15" t="s">
        <v>72</v>
      </c>
      <c r="AM644" s="15"/>
    </row>
    <row r="645" spans="1:39" s="21" customFormat="1" x14ac:dyDescent="0.3">
      <c r="A645" s="1">
        <v>74</v>
      </c>
      <c r="B645" s="2"/>
      <c r="C645" s="68"/>
      <c r="D645" s="2">
        <v>2</v>
      </c>
      <c r="E645" s="2">
        <v>8</v>
      </c>
      <c r="F645" s="2">
        <v>0</v>
      </c>
      <c r="G645" s="3"/>
      <c r="H645" s="2">
        <v>60</v>
      </c>
      <c r="I645" s="3">
        <v>4.3</v>
      </c>
      <c r="J645" s="3"/>
      <c r="K645" s="70">
        <v>2</v>
      </c>
      <c r="L645" s="2">
        <v>450</v>
      </c>
      <c r="M645" s="5">
        <v>8</v>
      </c>
      <c r="N645" s="6"/>
      <c r="O645" s="17">
        <v>450</v>
      </c>
      <c r="P645" s="7">
        <v>0.92</v>
      </c>
      <c r="Q645" s="84"/>
      <c r="R645" s="8">
        <v>7.3</v>
      </c>
      <c r="S645" s="8"/>
      <c r="T645" s="9">
        <v>12.3</v>
      </c>
      <c r="U645" s="9"/>
      <c r="V645" s="10"/>
      <c r="W645" s="10">
        <v>1</v>
      </c>
      <c r="X645" s="11">
        <v>540</v>
      </c>
      <c r="Y645" s="12"/>
      <c r="Z645" s="13"/>
      <c r="AA645" s="3"/>
      <c r="AB645" s="2"/>
      <c r="AC645" s="2"/>
      <c r="AD645" s="68"/>
      <c r="AE645" s="14"/>
      <c r="AF645" s="80"/>
      <c r="AG645" s="80"/>
      <c r="AH645" s="80"/>
      <c r="AI645" s="15" t="s">
        <v>116</v>
      </c>
      <c r="AJ645" s="15" t="s">
        <v>71</v>
      </c>
      <c r="AK645" s="15">
        <v>1997</v>
      </c>
      <c r="AL645" s="15" t="s">
        <v>72</v>
      </c>
      <c r="AM645" s="15"/>
    </row>
    <row r="646" spans="1:39" s="21" customFormat="1" x14ac:dyDescent="0.3">
      <c r="A646" s="1">
        <v>74</v>
      </c>
      <c r="B646" s="2">
        <v>74</v>
      </c>
      <c r="C646" s="68"/>
      <c r="D646" s="2">
        <v>3</v>
      </c>
      <c r="E646" s="2">
        <v>8</v>
      </c>
      <c r="F646" s="2">
        <v>0</v>
      </c>
      <c r="G646" s="3"/>
      <c r="H646" s="2">
        <v>60</v>
      </c>
      <c r="I646" s="3">
        <v>4.3</v>
      </c>
      <c r="J646" s="3"/>
      <c r="K646" s="4">
        <v>2</v>
      </c>
      <c r="L646" s="2">
        <v>540</v>
      </c>
      <c r="M646" s="5"/>
      <c r="N646" s="6">
        <v>5.4</v>
      </c>
      <c r="O646" s="17">
        <v>540</v>
      </c>
      <c r="P646" s="7">
        <v>1</v>
      </c>
      <c r="Q646" s="84"/>
      <c r="R646" s="8">
        <v>12.3</v>
      </c>
      <c r="S646" s="8"/>
      <c r="T646" s="9"/>
      <c r="U646" s="9"/>
      <c r="V646" s="10"/>
      <c r="W646" s="10"/>
      <c r="X646" s="11"/>
      <c r="Y646" s="12">
        <f>29/74</f>
        <v>0.39189189189189189</v>
      </c>
      <c r="Z646" s="13"/>
      <c r="AA646" s="3"/>
      <c r="AB646" s="2"/>
      <c r="AC646" s="2"/>
      <c r="AD646" s="68"/>
      <c r="AE646" s="14"/>
      <c r="AF646" s="80"/>
      <c r="AG646" s="80"/>
      <c r="AH646" s="80"/>
      <c r="AI646" s="15" t="s">
        <v>116</v>
      </c>
      <c r="AJ646" s="15" t="s">
        <v>71</v>
      </c>
      <c r="AK646" s="15">
        <v>1997</v>
      </c>
      <c r="AL646" s="15" t="s">
        <v>72</v>
      </c>
      <c r="AM646" s="15"/>
    </row>
    <row r="647" spans="1:39" s="21" customFormat="1" x14ac:dyDescent="0.3">
      <c r="A647" s="1">
        <v>103</v>
      </c>
      <c r="B647" s="2"/>
      <c r="C647" s="68"/>
      <c r="D647" s="2">
        <v>0</v>
      </c>
      <c r="E647" s="2"/>
      <c r="F647" s="2">
        <v>1</v>
      </c>
      <c r="G647" s="3">
        <v>5.4</v>
      </c>
      <c r="H647" s="2"/>
      <c r="I647" s="3"/>
      <c r="J647" s="3"/>
      <c r="K647" s="4">
        <v>2</v>
      </c>
      <c r="L647" s="2">
        <v>120</v>
      </c>
      <c r="M647" s="5"/>
      <c r="N647" s="6">
        <v>5.4</v>
      </c>
      <c r="O647" s="17"/>
      <c r="P647" s="7"/>
      <c r="Q647" s="84"/>
      <c r="R647" s="8"/>
      <c r="S647" s="8"/>
      <c r="T647" s="9">
        <v>11.44</v>
      </c>
      <c r="U647" s="9"/>
      <c r="V647" s="10"/>
      <c r="W647" s="10">
        <v>1</v>
      </c>
      <c r="X647" s="11">
        <v>180</v>
      </c>
      <c r="Y647" s="12"/>
      <c r="Z647" s="13"/>
      <c r="AA647" s="3"/>
      <c r="AB647" s="2"/>
      <c r="AC647" s="2"/>
      <c r="AD647" s="68"/>
      <c r="AE647" s="14"/>
      <c r="AF647" s="80"/>
      <c r="AG647" s="80"/>
      <c r="AH647" s="80"/>
      <c r="AI647" s="15" t="s">
        <v>172</v>
      </c>
      <c r="AJ647" s="15" t="s">
        <v>71</v>
      </c>
      <c r="AK647" s="15">
        <v>1997</v>
      </c>
      <c r="AL647" s="15" t="s">
        <v>72</v>
      </c>
      <c r="AM647" s="15"/>
    </row>
    <row r="648" spans="1:39" x14ac:dyDescent="0.3">
      <c r="A648" s="1">
        <v>73</v>
      </c>
      <c r="D648" s="2">
        <v>0</v>
      </c>
      <c r="F648" s="2">
        <v>2</v>
      </c>
      <c r="G648" s="3">
        <v>5.4</v>
      </c>
      <c r="K648" s="4">
        <v>2</v>
      </c>
      <c r="L648" s="2">
        <v>450</v>
      </c>
      <c r="N648" s="6">
        <v>5.4</v>
      </c>
      <c r="O648" s="17">
        <v>450</v>
      </c>
      <c r="P648" s="7">
        <v>1</v>
      </c>
      <c r="R648" s="8">
        <v>9.7750000000000004</v>
      </c>
      <c r="T648" s="9">
        <v>11.0565</v>
      </c>
      <c r="W648" s="10">
        <v>1</v>
      </c>
      <c r="X648" s="11">
        <v>540</v>
      </c>
      <c r="AI648" s="15" t="s">
        <v>172</v>
      </c>
      <c r="AJ648" s="15" t="s">
        <v>71</v>
      </c>
      <c r="AK648" s="15">
        <v>1997</v>
      </c>
      <c r="AL648" s="15" t="s">
        <v>72</v>
      </c>
    </row>
    <row r="649" spans="1:39" x14ac:dyDescent="0.3">
      <c r="A649" s="1">
        <v>73</v>
      </c>
      <c r="B649" s="2">
        <v>73</v>
      </c>
      <c r="D649" s="2">
        <v>0</v>
      </c>
      <c r="F649" s="2">
        <v>3</v>
      </c>
      <c r="G649" s="3">
        <v>5.4</v>
      </c>
      <c r="K649" s="4">
        <v>2</v>
      </c>
      <c r="L649" s="2">
        <v>540</v>
      </c>
      <c r="N649" s="6">
        <v>5.4</v>
      </c>
      <c r="O649" s="17">
        <v>540</v>
      </c>
      <c r="P649" s="7">
        <v>1</v>
      </c>
      <c r="R649" s="8">
        <v>11.0565</v>
      </c>
      <c r="Y649" s="12">
        <v>0.03</v>
      </c>
      <c r="AI649" s="15" t="s">
        <v>172</v>
      </c>
      <c r="AJ649" s="15" t="s">
        <v>71</v>
      </c>
      <c r="AK649" s="15">
        <v>1997</v>
      </c>
      <c r="AL649" s="15" t="s">
        <v>72</v>
      </c>
      <c r="AM649" s="15" t="s">
        <v>173</v>
      </c>
    </row>
    <row r="650" spans="1:39" x14ac:dyDescent="0.3">
      <c r="A650" s="1">
        <v>79</v>
      </c>
      <c r="D650" s="2">
        <v>2</v>
      </c>
      <c r="E650" s="2">
        <v>32</v>
      </c>
      <c r="F650" s="2">
        <v>0</v>
      </c>
      <c r="H650" s="2">
        <v>60</v>
      </c>
      <c r="I650" s="3">
        <v>4.2</v>
      </c>
      <c r="K650" s="4">
        <v>3</v>
      </c>
      <c r="L650" s="2">
        <v>450</v>
      </c>
      <c r="N650" s="6">
        <v>6.3</v>
      </c>
      <c r="O650" s="17">
        <v>450</v>
      </c>
      <c r="P650" s="7">
        <v>0.53</v>
      </c>
      <c r="R650" s="8">
        <v>3.6</v>
      </c>
      <c r="T650" s="9">
        <v>7.7</v>
      </c>
      <c r="W650" s="10">
        <v>0.81</v>
      </c>
      <c r="X650" s="11">
        <v>540</v>
      </c>
      <c r="AI650" s="15" t="s">
        <v>114</v>
      </c>
      <c r="AJ650" s="15" t="s">
        <v>71</v>
      </c>
      <c r="AK650" s="15">
        <v>1997</v>
      </c>
      <c r="AL650" s="15" t="s">
        <v>72</v>
      </c>
    </row>
    <row r="651" spans="1:39" x14ac:dyDescent="0.3">
      <c r="A651" s="1">
        <v>79</v>
      </c>
      <c r="B651" s="2">
        <v>79</v>
      </c>
      <c r="D651" s="2">
        <v>2</v>
      </c>
      <c r="E651" s="2">
        <v>32</v>
      </c>
      <c r="F651" s="2">
        <v>1</v>
      </c>
      <c r="G651" s="3">
        <v>6.3</v>
      </c>
      <c r="H651" s="2">
        <v>60</v>
      </c>
      <c r="I651" s="3">
        <v>4.2</v>
      </c>
      <c r="K651" s="4">
        <v>3</v>
      </c>
      <c r="L651" s="2">
        <v>540</v>
      </c>
      <c r="N651" s="6">
        <v>6.3</v>
      </c>
      <c r="O651" s="17">
        <v>540</v>
      </c>
      <c r="P651" s="7">
        <v>0.81</v>
      </c>
      <c r="R651" s="8">
        <v>7.7</v>
      </c>
      <c r="Y651" s="12">
        <f>43/79</f>
        <v>0.54430379746835444</v>
      </c>
      <c r="AI651" s="15" t="s">
        <v>114</v>
      </c>
      <c r="AJ651" s="15" t="s">
        <v>71</v>
      </c>
      <c r="AK651" s="15">
        <v>1997</v>
      </c>
      <c r="AL651" s="15" t="s">
        <v>72</v>
      </c>
    </row>
    <row r="652" spans="1:39" x14ac:dyDescent="0.3">
      <c r="A652" s="1">
        <v>80</v>
      </c>
      <c r="D652" s="2">
        <v>2</v>
      </c>
      <c r="E652" s="2">
        <v>32</v>
      </c>
      <c r="F652" s="2">
        <v>0</v>
      </c>
      <c r="H652" s="2">
        <v>60</v>
      </c>
      <c r="I652" s="3">
        <v>4.3</v>
      </c>
      <c r="K652" s="4">
        <v>3</v>
      </c>
      <c r="L652" s="2">
        <v>180</v>
      </c>
      <c r="N652" s="6">
        <v>6.3</v>
      </c>
      <c r="O652" s="17">
        <v>180</v>
      </c>
      <c r="P652" s="7">
        <v>0.74</v>
      </c>
      <c r="R652" s="8">
        <v>4.3</v>
      </c>
      <c r="T652" s="9">
        <v>6.6</v>
      </c>
      <c r="X652" s="11">
        <v>270</v>
      </c>
      <c r="AI652" s="15" t="s">
        <v>115</v>
      </c>
      <c r="AJ652" s="15" t="s">
        <v>71</v>
      </c>
      <c r="AK652" s="15">
        <v>1997</v>
      </c>
      <c r="AL652" s="15" t="s">
        <v>72</v>
      </c>
    </row>
    <row r="653" spans="1:39" x14ac:dyDescent="0.3">
      <c r="A653" s="1">
        <v>80</v>
      </c>
      <c r="D653" s="2">
        <v>2</v>
      </c>
      <c r="E653" s="2">
        <v>32</v>
      </c>
      <c r="F653" s="2">
        <v>1</v>
      </c>
      <c r="G653" s="3">
        <v>6.3</v>
      </c>
      <c r="H653" s="2">
        <v>60</v>
      </c>
      <c r="I653" s="3">
        <v>4.3</v>
      </c>
      <c r="K653" s="4">
        <v>3</v>
      </c>
      <c r="L653" s="2">
        <v>450</v>
      </c>
      <c r="N653" s="6">
        <v>6.3</v>
      </c>
      <c r="O653" s="17">
        <v>450</v>
      </c>
      <c r="P653" s="7">
        <v>0.78</v>
      </c>
      <c r="R653" s="8">
        <v>6.3</v>
      </c>
      <c r="T653" s="9">
        <v>8.6999999999999993</v>
      </c>
      <c r="W653" s="10">
        <v>0.94</v>
      </c>
      <c r="X653" s="11">
        <v>540</v>
      </c>
      <c r="AI653" s="15" t="s">
        <v>115</v>
      </c>
      <c r="AJ653" s="15" t="s">
        <v>71</v>
      </c>
      <c r="AK653" s="15">
        <v>1997</v>
      </c>
      <c r="AL653" s="15" t="s">
        <v>72</v>
      </c>
    </row>
    <row r="654" spans="1:39" x14ac:dyDescent="0.3">
      <c r="A654" s="1">
        <v>80</v>
      </c>
      <c r="B654" s="2">
        <v>80</v>
      </c>
      <c r="D654" s="2">
        <v>2</v>
      </c>
      <c r="E654" s="2">
        <v>32</v>
      </c>
      <c r="F654" s="2">
        <v>2</v>
      </c>
      <c r="G654" s="3">
        <v>6.3</v>
      </c>
      <c r="H654" s="2">
        <v>60</v>
      </c>
      <c r="I654" s="3">
        <v>4.3</v>
      </c>
      <c r="K654" s="4">
        <v>3</v>
      </c>
      <c r="L654" s="2">
        <v>540</v>
      </c>
      <c r="N654" s="6">
        <v>6.3</v>
      </c>
      <c r="O654" s="17">
        <v>540</v>
      </c>
      <c r="P654" s="7">
        <v>0.94</v>
      </c>
      <c r="R654" s="8">
        <v>8.6999999999999993</v>
      </c>
      <c r="Y654" s="12">
        <f>16/80</f>
        <v>0.2</v>
      </c>
      <c r="AI654" s="15" t="s">
        <v>115</v>
      </c>
      <c r="AJ654" s="15" t="s">
        <v>71</v>
      </c>
      <c r="AK654" s="15">
        <v>1997</v>
      </c>
      <c r="AL654" s="15" t="s">
        <v>72</v>
      </c>
    </row>
    <row r="655" spans="1:39" x14ac:dyDescent="0.3">
      <c r="A655" s="1">
        <v>70</v>
      </c>
      <c r="C655" s="68">
        <v>1</v>
      </c>
      <c r="D655" s="2">
        <v>1</v>
      </c>
      <c r="E655" s="2">
        <v>32</v>
      </c>
      <c r="F655" s="2">
        <v>0</v>
      </c>
      <c r="G655" s="3">
        <v>6.3</v>
      </c>
      <c r="H655" s="2">
        <v>60</v>
      </c>
      <c r="I655" s="3">
        <v>4.2</v>
      </c>
      <c r="K655" s="4">
        <v>3</v>
      </c>
      <c r="L655" s="2">
        <v>180</v>
      </c>
      <c r="N655" s="6">
        <v>6.3</v>
      </c>
      <c r="O655" s="17">
        <v>180</v>
      </c>
      <c r="P655" s="7">
        <v>0.84</v>
      </c>
      <c r="R655" s="8">
        <v>6.4</v>
      </c>
      <c r="T655" s="9">
        <v>9</v>
      </c>
      <c r="X655" s="11">
        <v>270</v>
      </c>
      <c r="AI655" s="15" t="s">
        <v>117</v>
      </c>
      <c r="AJ655" s="15" t="s">
        <v>71</v>
      </c>
      <c r="AK655" s="15">
        <v>1997</v>
      </c>
      <c r="AL655" s="15" t="s">
        <v>72</v>
      </c>
    </row>
    <row r="656" spans="1:39" x14ac:dyDescent="0.3">
      <c r="A656" s="1">
        <v>70</v>
      </c>
      <c r="C656" s="68">
        <v>1</v>
      </c>
      <c r="D656" s="2">
        <v>1</v>
      </c>
      <c r="E656" s="2">
        <v>32</v>
      </c>
      <c r="F656" s="2">
        <v>1</v>
      </c>
      <c r="G656" s="3">
        <v>6.3</v>
      </c>
      <c r="H656" s="2">
        <v>60</v>
      </c>
      <c r="I656" s="3">
        <v>4.2</v>
      </c>
      <c r="K656" s="4">
        <v>3</v>
      </c>
      <c r="L656" s="2">
        <v>450</v>
      </c>
      <c r="N656" s="6">
        <v>6.3</v>
      </c>
      <c r="O656" s="17">
        <v>450</v>
      </c>
      <c r="P656" s="7">
        <v>0.98</v>
      </c>
      <c r="R656" s="8">
        <v>8</v>
      </c>
      <c r="T656" s="9">
        <v>9.3000000000000007</v>
      </c>
      <c r="W656" s="10">
        <v>1</v>
      </c>
      <c r="X656" s="11">
        <v>540</v>
      </c>
      <c r="AI656" s="15" t="s">
        <v>117</v>
      </c>
      <c r="AJ656" s="15" t="s">
        <v>71</v>
      </c>
      <c r="AK656" s="15">
        <v>1997</v>
      </c>
      <c r="AL656" s="15" t="s">
        <v>72</v>
      </c>
    </row>
    <row r="657" spans="1:39" x14ac:dyDescent="0.3">
      <c r="A657" s="1">
        <v>70</v>
      </c>
      <c r="B657" s="2">
        <v>70</v>
      </c>
      <c r="C657" s="68">
        <v>1</v>
      </c>
      <c r="D657" s="2">
        <v>1</v>
      </c>
      <c r="E657" s="2">
        <v>32</v>
      </c>
      <c r="F657" s="2">
        <v>2</v>
      </c>
      <c r="G657" s="3">
        <v>6.3</v>
      </c>
      <c r="H657" s="2">
        <v>60</v>
      </c>
      <c r="I657" s="3">
        <v>4.2</v>
      </c>
      <c r="K657" s="4">
        <v>3</v>
      </c>
      <c r="L657" s="2">
        <v>540</v>
      </c>
      <c r="N657" s="6">
        <v>6.3</v>
      </c>
      <c r="O657" s="17">
        <v>540</v>
      </c>
      <c r="P657" s="7">
        <v>1</v>
      </c>
      <c r="R657" s="8">
        <v>9.3000000000000007</v>
      </c>
      <c r="Y657" s="12">
        <f>12/70</f>
        <v>0.17142857142857143</v>
      </c>
      <c r="AI657" s="15" t="s">
        <v>117</v>
      </c>
      <c r="AJ657" s="15" t="s">
        <v>71</v>
      </c>
      <c r="AK657" s="15">
        <v>1997</v>
      </c>
      <c r="AL657" s="15" t="s">
        <v>72</v>
      </c>
    </row>
    <row r="658" spans="1:39" x14ac:dyDescent="0.3">
      <c r="A658" s="1">
        <v>74</v>
      </c>
      <c r="D658" s="2">
        <v>2</v>
      </c>
      <c r="E658" s="2">
        <v>32</v>
      </c>
      <c r="F658" s="2">
        <v>0</v>
      </c>
      <c r="H658" s="2">
        <v>60</v>
      </c>
      <c r="I658" s="3">
        <v>3.5</v>
      </c>
      <c r="K658" s="4">
        <v>3</v>
      </c>
      <c r="L658" s="2">
        <v>450</v>
      </c>
      <c r="M658" s="5">
        <v>32</v>
      </c>
      <c r="O658" s="17">
        <v>450</v>
      </c>
      <c r="P658" s="7">
        <v>0.53</v>
      </c>
      <c r="R658" s="8">
        <v>3.1</v>
      </c>
      <c r="T658" s="9">
        <v>7.9</v>
      </c>
      <c r="W658" s="10">
        <v>1</v>
      </c>
      <c r="X658" s="11">
        <v>540</v>
      </c>
      <c r="AI658" s="15" t="s">
        <v>116</v>
      </c>
      <c r="AJ658" s="15" t="s">
        <v>71</v>
      </c>
      <c r="AK658" s="15">
        <v>1997</v>
      </c>
      <c r="AL658" s="15" t="s">
        <v>72</v>
      </c>
    </row>
    <row r="659" spans="1:39" x14ac:dyDescent="0.3">
      <c r="A659" s="1">
        <v>74</v>
      </c>
      <c r="B659" s="2">
        <v>74</v>
      </c>
      <c r="D659" s="2">
        <v>3</v>
      </c>
      <c r="E659" s="2">
        <v>32</v>
      </c>
      <c r="F659" s="2">
        <v>0</v>
      </c>
      <c r="H659" s="2">
        <v>60</v>
      </c>
      <c r="I659" s="3">
        <v>3.5</v>
      </c>
      <c r="K659" s="4">
        <v>3</v>
      </c>
      <c r="L659" s="2">
        <v>540</v>
      </c>
      <c r="N659" s="6">
        <v>6.3</v>
      </c>
      <c r="O659" s="17">
        <v>540</v>
      </c>
      <c r="P659" s="7">
        <v>1</v>
      </c>
      <c r="R659" s="8">
        <v>7.9</v>
      </c>
      <c r="Y659" s="12">
        <f>58/74</f>
        <v>0.78378378378378377</v>
      </c>
      <c r="AI659" s="15" t="s">
        <v>116</v>
      </c>
      <c r="AJ659" s="15" t="s">
        <v>71</v>
      </c>
      <c r="AK659" s="15">
        <v>1997</v>
      </c>
      <c r="AL659" s="15" t="s">
        <v>72</v>
      </c>
    </row>
    <row r="660" spans="1:39" x14ac:dyDescent="0.3">
      <c r="A660" s="1">
        <v>103</v>
      </c>
      <c r="D660" s="2">
        <v>0</v>
      </c>
      <c r="F660" s="2">
        <v>1</v>
      </c>
      <c r="G660" s="3">
        <v>6.3</v>
      </c>
      <c r="K660" s="4">
        <v>3</v>
      </c>
      <c r="L660" s="2">
        <v>120</v>
      </c>
      <c r="N660" s="6">
        <v>6.3</v>
      </c>
      <c r="T660" s="9">
        <v>8.1829000000000001</v>
      </c>
      <c r="W660" s="10">
        <v>0.9</v>
      </c>
      <c r="X660" s="11">
        <v>180</v>
      </c>
      <c r="AI660" s="15" t="s">
        <v>172</v>
      </c>
      <c r="AJ660" s="15" t="s">
        <v>71</v>
      </c>
      <c r="AK660" s="15">
        <v>1997</v>
      </c>
      <c r="AL660" s="15" t="s">
        <v>72</v>
      </c>
    </row>
    <row r="661" spans="1:39" x14ac:dyDescent="0.3">
      <c r="A661" s="1">
        <v>73</v>
      </c>
      <c r="D661" s="2">
        <v>0</v>
      </c>
      <c r="F661" s="2">
        <v>2</v>
      </c>
      <c r="G661" s="3">
        <v>6.3</v>
      </c>
      <c r="K661" s="4">
        <v>3</v>
      </c>
      <c r="L661" s="2">
        <v>450</v>
      </c>
      <c r="N661" s="6">
        <v>6.3</v>
      </c>
      <c r="O661" s="17">
        <v>450</v>
      </c>
      <c r="P661" s="7">
        <v>0.89</v>
      </c>
      <c r="R661" s="8">
        <v>7.0438999999999998</v>
      </c>
      <c r="T661" s="9">
        <v>8.2185000000000006</v>
      </c>
      <c r="W661" s="10">
        <v>0.96</v>
      </c>
      <c r="X661" s="11">
        <v>540</v>
      </c>
      <c r="AI661" s="15" t="s">
        <v>172</v>
      </c>
      <c r="AJ661" s="15" t="s">
        <v>71</v>
      </c>
      <c r="AK661" s="15">
        <v>1997</v>
      </c>
      <c r="AL661" s="15" t="s">
        <v>72</v>
      </c>
    </row>
    <row r="662" spans="1:39" x14ac:dyDescent="0.3">
      <c r="A662" s="1">
        <v>73</v>
      </c>
      <c r="B662" s="2">
        <v>73</v>
      </c>
      <c r="D662" s="2">
        <v>0</v>
      </c>
      <c r="F662" s="2">
        <v>3</v>
      </c>
      <c r="G662" s="3">
        <v>6.3</v>
      </c>
      <c r="K662" s="4">
        <v>3</v>
      </c>
      <c r="L662" s="2">
        <v>540</v>
      </c>
      <c r="N662" s="6">
        <v>6.3</v>
      </c>
      <c r="O662" s="17">
        <v>540</v>
      </c>
      <c r="P662" s="7">
        <v>0.96</v>
      </c>
      <c r="R662" s="8">
        <v>8.2185000000000006</v>
      </c>
      <c r="Y662" s="12">
        <v>0.1</v>
      </c>
      <c r="AI662" s="15" t="s">
        <v>172</v>
      </c>
      <c r="AJ662" s="15" t="s">
        <v>71</v>
      </c>
      <c r="AK662" s="15">
        <v>1997</v>
      </c>
      <c r="AL662" s="15" t="s">
        <v>72</v>
      </c>
      <c r="AM662" s="15" t="s">
        <v>173</v>
      </c>
    </row>
    <row r="663" spans="1:39" x14ac:dyDescent="0.3">
      <c r="A663" s="1">
        <v>186</v>
      </c>
      <c r="D663" s="2">
        <v>0</v>
      </c>
      <c r="F663" s="2">
        <v>3</v>
      </c>
      <c r="G663" s="3">
        <v>6</v>
      </c>
      <c r="K663" s="4">
        <v>1</v>
      </c>
      <c r="L663" s="2">
        <f>6.2*30</f>
        <v>186</v>
      </c>
      <c r="N663" s="6">
        <v>6.5</v>
      </c>
      <c r="O663" s="17">
        <v>186</v>
      </c>
      <c r="P663" s="7">
        <v>0.73</v>
      </c>
      <c r="Q663" s="84">
        <v>0</v>
      </c>
      <c r="R663" s="8">
        <v>7.3750394313469245</v>
      </c>
      <c r="S663" s="8">
        <v>13.636390281112117</v>
      </c>
      <c r="T663" s="9">
        <v>8.8105716347411462</v>
      </c>
      <c r="U663" s="9">
        <v>9.3473933498753663</v>
      </c>
      <c r="W663" s="10">
        <v>0.93</v>
      </c>
      <c r="X663" s="11">
        <v>220</v>
      </c>
      <c r="AI663" s="15" t="s">
        <v>399</v>
      </c>
      <c r="AJ663" s="15" t="s">
        <v>396</v>
      </c>
      <c r="AK663" s="15">
        <v>1993</v>
      </c>
      <c r="AL663" s="15" t="s">
        <v>397</v>
      </c>
    </row>
    <row r="664" spans="1:39" x14ac:dyDescent="0.3">
      <c r="A664" s="1">
        <v>182</v>
      </c>
      <c r="D664" s="2">
        <v>0</v>
      </c>
      <c r="F664" s="2">
        <v>3</v>
      </c>
      <c r="G664" s="3">
        <v>6</v>
      </c>
      <c r="K664" s="4">
        <v>1</v>
      </c>
      <c r="L664" s="2">
        <f>6.2*30</f>
        <v>186</v>
      </c>
      <c r="N664" s="6">
        <v>6.5</v>
      </c>
      <c r="O664" s="17">
        <v>186</v>
      </c>
      <c r="P664" s="7">
        <v>0.76</v>
      </c>
      <c r="Q664" s="84">
        <v>0</v>
      </c>
      <c r="R664" s="8">
        <v>7.4998458870832057</v>
      </c>
      <c r="S664" s="8">
        <v>11.977632599524487</v>
      </c>
      <c r="T664" s="9">
        <v>8.1699250014423122</v>
      </c>
      <c r="U664" s="9">
        <v>11.60030965358574</v>
      </c>
      <c r="W664" s="10">
        <v>0.84</v>
      </c>
      <c r="X664" s="11">
        <v>220</v>
      </c>
      <c r="AI664" s="15" t="s">
        <v>398</v>
      </c>
      <c r="AJ664" s="15" t="s">
        <v>396</v>
      </c>
      <c r="AK664" s="15">
        <v>1993</v>
      </c>
      <c r="AL664" s="15" t="s">
        <v>397</v>
      </c>
    </row>
    <row r="665" spans="1:39" x14ac:dyDescent="0.3">
      <c r="A665" s="1">
        <v>177</v>
      </c>
      <c r="D665" s="2">
        <v>0</v>
      </c>
      <c r="F665" s="2">
        <v>3</v>
      </c>
      <c r="G665" s="3">
        <v>6</v>
      </c>
      <c r="K665" s="4">
        <v>1</v>
      </c>
      <c r="L665" s="2">
        <f>9.2*30</f>
        <v>276</v>
      </c>
      <c r="N665" s="6">
        <v>6.5</v>
      </c>
      <c r="O665" s="17">
        <v>276</v>
      </c>
      <c r="P665" s="7">
        <v>0.85</v>
      </c>
      <c r="Q665" s="84">
        <v>0</v>
      </c>
      <c r="R665" s="8">
        <v>8.3264294871223026</v>
      </c>
      <c r="S665" s="8">
        <v>10.728257498107055</v>
      </c>
      <c r="T665" s="9">
        <v>10.286557761607957</v>
      </c>
      <c r="U665" s="9">
        <v>4.3390830450025621</v>
      </c>
      <c r="W665" s="10">
        <v>0.97</v>
      </c>
      <c r="X665" s="11">
        <v>310</v>
      </c>
      <c r="AI665" s="15" t="s">
        <v>401</v>
      </c>
      <c r="AJ665" s="15" t="s">
        <v>396</v>
      </c>
      <c r="AK665" s="15">
        <v>1993</v>
      </c>
      <c r="AL665" s="15" t="s">
        <v>397</v>
      </c>
    </row>
    <row r="666" spans="1:39" x14ac:dyDescent="0.3">
      <c r="A666" s="1">
        <v>169</v>
      </c>
      <c r="D666" s="2">
        <v>0</v>
      </c>
      <c r="F666" s="2">
        <v>3</v>
      </c>
      <c r="G666" s="3">
        <v>6</v>
      </c>
      <c r="K666" s="4">
        <v>1</v>
      </c>
      <c r="L666" s="2">
        <f>9.2*30</f>
        <v>276</v>
      </c>
      <c r="N666" s="6">
        <v>6.5</v>
      </c>
      <c r="O666" s="17">
        <v>276</v>
      </c>
      <c r="P666" s="7">
        <v>0.83</v>
      </c>
      <c r="Q666" s="84">
        <v>0</v>
      </c>
      <c r="R666" s="8">
        <v>8.1292830169449672</v>
      </c>
      <c r="S666" s="8">
        <v>10.998021657642649</v>
      </c>
      <c r="T666" s="9">
        <v>8.3837042924740519</v>
      </c>
      <c r="U666" s="9">
        <v>9.3178078182309569</v>
      </c>
      <c r="W666" s="10">
        <v>0.85</v>
      </c>
      <c r="X666" s="11">
        <v>310</v>
      </c>
      <c r="AI666" s="15" t="s">
        <v>400</v>
      </c>
      <c r="AJ666" s="15" t="s">
        <v>396</v>
      </c>
      <c r="AK666" s="15">
        <v>1993</v>
      </c>
      <c r="AL666" s="15" t="s">
        <v>397</v>
      </c>
    </row>
    <row r="667" spans="1:39" x14ac:dyDescent="0.3">
      <c r="A667" s="1">
        <v>186</v>
      </c>
      <c r="D667" s="2">
        <v>0</v>
      </c>
      <c r="F667" s="2">
        <v>3</v>
      </c>
      <c r="G667" s="3">
        <v>5</v>
      </c>
      <c r="K667" s="4">
        <v>2</v>
      </c>
      <c r="L667" s="2">
        <f>6.2*30</f>
        <v>186</v>
      </c>
      <c r="N667" s="6">
        <v>5.5</v>
      </c>
      <c r="O667" s="17">
        <v>186</v>
      </c>
      <c r="P667" s="7">
        <v>0.93</v>
      </c>
      <c r="Q667" s="84">
        <v>0</v>
      </c>
      <c r="R667" s="8">
        <v>9.2714630279043746</v>
      </c>
      <c r="S667" s="8">
        <v>6.2450754970699798</v>
      </c>
      <c r="T667" s="9">
        <v>10.188588845707349</v>
      </c>
      <c r="U667" s="9">
        <v>29.223479336699139</v>
      </c>
      <c r="W667" s="10">
        <v>1</v>
      </c>
      <c r="X667" s="11">
        <v>220</v>
      </c>
      <c r="AI667" s="15" t="s">
        <v>399</v>
      </c>
      <c r="AJ667" s="15" t="s">
        <v>396</v>
      </c>
      <c r="AK667" s="15">
        <v>1993</v>
      </c>
      <c r="AL667" s="15" t="s">
        <v>397</v>
      </c>
    </row>
    <row r="668" spans="1:39" x14ac:dyDescent="0.3">
      <c r="A668" s="1">
        <v>182</v>
      </c>
      <c r="D668" s="2">
        <v>0</v>
      </c>
      <c r="F668" s="2">
        <v>3</v>
      </c>
      <c r="G668" s="3">
        <v>5</v>
      </c>
      <c r="K668" s="4">
        <v>2</v>
      </c>
      <c r="L668" s="2">
        <f>6.2*30</f>
        <v>186</v>
      </c>
      <c r="N668" s="6">
        <v>5.5</v>
      </c>
      <c r="O668" s="17">
        <v>186</v>
      </c>
      <c r="P668" s="7">
        <v>0.91</v>
      </c>
      <c r="Q668" s="84">
        <v>0</v>
      </c>
      <c r="R668" s="8">
        <v>9.0471239121140261</v>
      </c>
      <c r="S668" s="8">
        <v>7.938740259765475</v>
      </c>
      <c r="T668" s="9">
        <v>9.4408691676108685</v>
      </c>
      <c r="U668" s="9">
        <v>6.9208319754711987</v>
      </c>
      <c r="W668" s="10">
        <v>0.95</v>
      </c>
      <c r="X668" s="11">
        <v>220</v>
      </c>
      <c r="AI668" s="15" t="s">
        <v>398</v>
      </c>
      <c r="AJ668" s="15" t="s">
        <v>396</v>
      </c>
      <c r="AK668" s="15">
        <v>1993</v>
      </c>
      <c r="AL668" s="15" t="s">
        <v>397</v>
      </c>
    </row>
    <row r="669" spans="1:39" x14ac:dyDescent="0.3">
      <c r="A669" s="1">
        <v>177</v>
      </c>
      <c r="D669" s="2">
        <v>0</v>
      </c>
      <c r="F669" s="2">
        <v>3</v>
      </c>
      <c r="G669" s="3">
        <v>5</v>
      </c>
      <c r="K669" s="4">
        <v>2</v>
      </c>
      <c r="L669" s="2">
        <f>9.2*30</f>
        <v>276</v>
      </c>
      <c r="N669" s="6">
        <v>5.5</v>
      </c>
      <c r="O669" s="17">
        <v>276</v>
      </c>
      <c r="P669" s="7">
        <v>0.93</v>
      </c>
      <c r="Q669" s="84">
        <v>0</v>
      </c>
      <c r="R669" s="8">
        <v>8.7714894695005992</v>
      </c>
      <c r="S669" s="8">
        <v>5.4154382602439739</v>
      </c>
      <c r="T669" s="9">
        <v>10.50084187955693</v>
      </c>
      <c r="U669" s="9">
        <v>1.9041567714874532</v>
      </c>
      <c r="W669" s="10">
        <v>0.997</v>
      </c>
      <c r="X669" s="11">
        <v>310</v>
      </c>
      <c r="AI669" s="15" t="s">
        <v>401</v>
      </c>
      <c r="AJ669" s="15" t="s">
        <v>396</v>
      </c>
      <c r="AK669" s="15">
        <v>1993</v>
      </c>
      <c r="AL669" s="15" t="s">
        <v>397</v>
      </c>
    </row>
    <row r="670" spans="1:39" x14ac:dyDescent="0.3">
      <c r="A670" s="1">
        <v>169</v>
      </c>
      <c r="D670" s="2">
        <v>0</v>
      </c>
      <c r="F670" s="2">
        <v>3</v>
      </c>
      <c r="G670" s="3">
        <v>5</v>
      </c>
      <c r="K670" s="4">
        <v>2</v>
      </c>
      <c r="L670" s="2">
        <f>9.2*30</f>
        <v>276</v>
      </c>
      <c r="N670" s="6">
        <v>5.5</v>
      </c>
      <c r="O670" s="17">
        <v>276</v>
      </c>
      <c r="P670" s="7">
        <v>0.91</v>
      </c>
      <c r="Q670" s="84">
        <v>0</v>
      </c>
      <c r="R670" s="8">
        <v>8.6546360285279675</v>
      </c>
      <c r="S670" s="8">
        <v>6.906691302233221</v>
      </c>
      <c r="T670" s="9">
        <v>9.06339508128851</v>
      </c>
      <c r="U670" s="9">
        <v>8.7768081376423623</v>
      </c>
      <c r="W670" s="10">
        <v>0.93</v>
      </c>
      <c r="X670" s="11">
        <v>310</v>
      </c>
      <c r="AI670" s="15" t="s">
        <v>400</v>
      </c>
      <c r="AJ670" s="15" t="s">
        <v>396</v>
      </c>
      <c r="AK670" s="15">
        <v>1993</v>
      </c>
      <c r="AL670" s="15" t="s">
        <v>397</v>
      </c>
    </row>
    <row r="671" spans="1:39" x14ac:dyDescent="0.3">
      <c r="A671" s="1">
        <v>186</v>
      </c>
      <c r="D671" s="2">
        <v>0</v>
      </c>
      <c r="F671" s="2">
        <v>3</v>
      </c>
      <c r="G671" s="3">
        <v>5.5</v>
      </c>
      <c r="K671" s="4">
        <v>3</v>
      </c>
      <c r="L671" s="2">
        <f>6.2*30</f>
        <v>186</v>
      </c>
      <c r="N671" s="6">
        <v>5.9</v>
      </c>
      <c r="O671" s="17">
        <v>186</v>
      </c>
      <c r="P671" s="7">
        <v>0.67</v>
      </c>
      <c r="Q671" s="84">
        <v>0</v>
      </c>
      <c r="R671" s="8">
        <v>5.9307373375628867</v>
      </c>
      <c r="S671" s="8">
        <v>10.534108300172553</v>
      </c>
      <c r="T671" s="9">
        <v>7.8392037880969436</v>
      </c>
      <c r="U671" s="9">
        <v>9.1908530043891936</v>
      </c>
      <c r="W671" s="10">
        <v>0.89</v>
      </c>
      <c r="X671" s="11">
        <v>220</v>
      </c>
      <c r="AI671" s="15" t="s">
        <v>399</v>
      </c>
      <c r="AJ671" s="15" t="s">
        <v>396</v>
      </c>
      <c r="AK671" s="15">
        <v>1993</v>
      </c>
      <c r="AL671" s="15" t="s">
        <v>397</v>
      </c>
    </row>
    <row r="672" spans="1:39" x14ac:dyDescent="0.3">
      <c r="A672" s="1">
        <v>182</v>
      </c>
      <c r="D672" s="2">
        <v>0</v>
      </c>
      <c r="F672" s="2">
        <v>3</v>
      </c>
      <c r="G672" s="3">
        <v>5.5</v>
      </c>
      <c r="K672" s="4">
        <v>3</v>
      </c>
      <c r="L672" s="2">
        <f>6.2*30</f>
        <v>186</v>
      </c>
      <c r="N672" s="6">
        <v>5.9</v>
      </c>
      <c r="O672" s="17">
        <v>186</v>
      </c>
      <c r="P672" s="7">
        <v>0.56999999999999995</v>
      </c>
      <c r="Q672" s="84">
        <v>0</v>
      </c>
      <c r="R672" s="8">
        <v>5.3575520046180838</v>
      </c>
      <c r="S672" s="8">
        <v>10.15595298939871</v>
      </c>
      <c r="T672" s="9">
        <v>6.0443941193584534</v>
      </c>
      <c r="U672" s="9">
        <v>23.211984469156874</v>
      </c>
      <c r="W672" s="10">
        <v>0.65</v>
      </c>
      <c r="X672" s="11">
        <v>220</v>
      </c>
      <c r="AI672" s="15" t="s">
        <v>398</v>
      </c>
      <c r="AJ672" s="15" t="s">
        <v>396</v>
      </c>
      <c r="AK672" s="15">
        <v>1993</v>
      </c>
      <c r="AL672" s="15" t="s">
        <v>397</v>
      </c>
    </row>
    <row r="673" spans="1:39" x14ac:dyDescent="0.3">
      <c r="A673" s="1">
        <v>177</v>
      </c>
      <c r="D673" s="2">
        <v>0</v>
      </c>
      <c r="F673" s="2">
        <v>3</v>
      </c>
      <c r="G673" s="3">
        <v>5.5</v>
      </c>
      <c r="K673" s="4">
        <v>3</v>
      </c>
      <c r="L673" s="2">
        <f>9.2*30</f>
        <v>276</v>
      </c>
      <c r="N673" s="6">
        <v>5.9</v>
      </c>
      <c r="O673" s="17">
        <v>276</v>
      </c>
      <c r="P673" s="7">
        <v>0.76</v>
      </c>
      <c r="Q673" s="84">
        <v>0</v>
      </c>
      <c r="R673" s="8">
        <v>6.9425145053392399</v>
      </c>
      <c r="S673" s="8">
        <v>10.394680521679291</v>
      </c>
      <c r="T673" s="9">
        <v>9.5018371849022962</v>
      </c>
      <c r="U673" s="9">
        <v>8.8228590929559072</v>
      </c>
      <c r="W673" s="10">
        <v>0.92</v>
      </c>
      <c r="X673" s="11">
        <v>310</v>
      </c>
      <c r="AI673" s="15" t="s">
        <v>401</v>
      </c>
      <c r="AJ673" s="15" t="s">
        <v>396</v>
      </c>
      <c r="AK673" s="15">
        <v>1993</v>
      </c>
      <c r="AL673" s="15" t="s">
        <v>397</v>
      </c>
    </row>
    <row r="674" spans="1:39" x14ac:dyDescent="0.3">
      <c r="A674" s="1">
        <v>169</v>
      </c>
      <c r="D674" s="2">
        <v>0</v>
      </c>
      <c r="F674" s="2">
        <v>3</v>
      </c>
      <c r="G674" s="3">
        <v>5.5</v>
      </c>
      <c r="K674" s="4">
        <v>3</v>
      </c>
      <c r="L674" s="2">
        <f>9.2*30</f>
        <v>276</v>
      </c>
      <c r="N674" s="6">
        <v>5.9</v>
      </c>
      <c r="O674" s="17">
        <v>276</v>
      </c>
      <c r="P674" s="7">
        <v>0.75</v>
      </c>
      <c r="Q674" s="84">
        <v>0</v>
      </c>
      <c r="R674" s="8">
        <v>6.5849625007211561</v>
      </c>
      <c r="S674" s="8">
        <v>10.311610186111251</v>
      </c>
      <c r="T674" s="9">
        <v>7.0223678130284553</v>
      </c>
      <c r="U674" s="9">
        <v>16.14226046935558</v>
      </c>
      <c r="W674" s="10">
        <v>0.75</v>
      </c>
      <c r="X674" s="11">
        <v>310</v>
      </c>
      <c r="AI674" s="15" t="s">
        <v>400</v>
      </c>
      <c r="AJ674" s="15" t="s">
        <v>396</v>
      </c>
      <c r="AK674" s="15">
        <v>1993</v>
      </c>
      <c r="AL674" s="15" t="s">
        <v>397</v>
      </c>
    </row>
    <row r="675" spans="1:39" x14ac:dyDescent="0.3">
      <c r="A675" s="1">
        <v>99</v>
      </c>
      <c r="D675" s="2">
        <v>0</v>
      </c>
      <c r="F675" s="2">
        <v>0</v>
      </c>
      <c r="H675" s="2">
        <v>73</v>
      </c>
      <c r="I675" s="3">
        <v>7.1</v>
      </c>
      <c r="J675" s="3">
        <v>3.8</v>
      </c>
      <c r="K675" s="4">
        <v>1</v>
      </c>
      <c r="L675" s="2">
        <v>73</v>
      </c>
      <c r="N675" s="6">
        <v>6</v>
      </c>
      <c r="O675" s="17">
        <v>73</v>
      </c>
      <c r="Q675" s="84">
        <v>0</v>
      </c>
      <c r="R675" s="8">
        <v>7.1</v>
      </c>
      <c r="S675" s="8">
        <v>3.8</v>
      </c>
      <c r="T675" s="9">
        <v>7.4676055500829976</v>
      </c>
      <c r="U675" s="9">
        <v>6.9747678495179999</v>
      </c>
      <c r="V675" s="10">
        <v>0.33</v>
      </c>
      <c r="X675" s="11">
        <v>103</v>
      </c>
      <c r="AF675" s="80" t="s">
        <v>352</v>
      </c>
      <c r="AI675" s="15" t="s">
        <v>350</v>
      </c>
      <c r="AJ675" s="15" t="s">
        <v>348</v>
      </c>
      <c r="AK675" s="15">
        <v>1996</v>
      </c>
      <c r="AL675" s="15" t="s">
        <v>349</v>
      </c>
    </row>
    <row r="676" spans="1:39" x14ac:dyDescent="0.3">
      <c r="A676" s="1">
        <v>101</v>
      </c>
      <c r="D676" s="2">
        <v>0</v>
      </c>
      <c r="F676" s="2">
        <v>2</v>
      </c>
      <c r="G676" s="3">
        <v>6</v>
      </c>
      <c r="H676" s="2">
        <v>73</v>
      </c>
      <c r="I676" s="3">
        <v>7.1</v>
      </c>
      <c r="J676" s="3">
        <v>3.8</v>
      </c>
      <c r="K676" s="4">
        <v>1</v>
      </c>
      <c r="L676" s="2">
        <v>133</v>
      </c>
      <c r="N676" s="6">
        <v>6</v>
      </c>
      <c r="Q676" s="84">
        <v>0</v>
      </c>
      <c r="T676" s="9">
        <v>8.3128829552843548</v>
      </c>
      <c r="U676" s="9">
        <v>12.246514947649775</v>
      </c>
      <c r="W676" s="10">
        <v>0.68700000000000006</v>
      </c>
      <c r="X676" s="11">
        <v>163</v>
      </c>
      <c r="AF676" s="80" t="s">
        <v>352</v>
      </c>
      <c r="AI676" s="15" t="s">
        <v>350</v>
      </c>
      <c r="AJ676" s="15" t="s">
        <v>348</v>
      </c>
      <c r="AK676" s="15">
        <v>1996</v>
      </c>
      <c r="AL676" s="15" t="s">
        <v>349</v>
      </c>
    </row>
    <row r="677" spans="1:39" x14ac:dyDescent="0.3">
      <c r="A677" s="1">
        <v>211</v>
      </c>
      <c r="D677" s="2">
        <v>0</v>
      </c>
      <c r="F677" s="2">
        <v>0</v>
      </c>
      <c r="H677" s="2">
        <v>73</v>
      </c>
      <c r="I677" s="3">
        <v>7.1</v>
      </c>
      <c r="J677" s="3">
        <v>3.6</v>
      </c>
      <c r="K677" s="4">
        <v>1</v>
      </c>
      <c r="L677" s="2">
        <v>73</v>
      </c>
      <c r="N677" s="6">
        <v>6</v>
      </c>
      <c r="O677" s="17">
        <v>73</v>
      </c>
      <c r="Q677" s="84">
        <v>0</v>
      </c>
      <c r="R677" s="8">
        <v>7.1</v>
      </c>
      <c r="S677" s="8">
        <v>3.6</v>
      </c>
      <c r="T677" s="9">
        <v>7.6073303137496104</v>
      </c>
      <c r="U677" s="9">
        <v>7.0759690350815507</v>
      </c>
      <c r="V677" s="10">
        <v>0.33600000000000002</v>
      </c>
      <c r="X677" s="11">
        <v>103</v>
      </c>
      <c r="AI677" s="15" t="s">
        <v>351</v>
      </c>
      <c r="AJ677" s="15" t="s">
        <v>348</v>
      </c>
      <c r="AK677" s="15">
        <v>1996</v>
      </c>
      <c r="AL677" s="15" t="s">
        <v>349</v>
      </c>
    </row>
    <row r="678" spans="1:39" x14ac:dyDescent="0.3">
      <c r="A678" s="1">
        <v>214</v>
      </c>
      <c r="D678" s="2">
        <v>0</v>
      </c>
      <c r="F678" s="2">
        <v>2</v>
      </c>
      <c r="G678" s="3">
        <v>6</v>
      </c>
      <c r="H678" s="2">
        <v>73</v>
      </c>
      <c r="I678" s="3">
        <v>7.1</v>
      </c>
      <c r="J678" s="3">
        <v>3.6</v>
      </c>
      <c r="K678" s="4">
        <v>1</v>
      </c>
      <c r="L678" s="2">
        <v>133</v>
      </c>
      <c r="N678" s="6">
        <v>6</v>
      </c>
      <c r="Q678" s="84">
        <v>0</v>
      </c>
      <c r="T678" s="9">
        <v>8.7448338374995469</v>
      </c>
      <c r="U678" s="9">
        <v>12.950352753927129</v>
      </c>
      <c r="W678" s="10">
        <v>0.70399999999999996</v>
      </c>
      <c r="X678" s="11">
        <v>163</v>
      </c>
      <c r="AI678" s="15" t="s">
        <v>351</v>
      </c>
      <c r="AJ678" s="15" t="s">
        <v>348</v>
      </c>
      <c r="AK678" s="15">
        <v>1996</v>
      </c>
      <c r="AL678" s="15" t="s">
        <v>349</v>
      </c>
    </row>
    <row r="679" spans="1:39" x14ac:dyDescent="0.3">
      <c r="A679" s="1">
        <v>99</v>
      </c>
      <c r="D679" s="2">
        <v>0</v>
      </c>
      <c r="F679" s="2">
        <v>0</v>
      </c>
      <c r="H679" s="2">
        <v>73</v>
      </c>
      <c r="I679" s="3">
        <v>7.1</v>
      </c>
      <c r="J679" s="3">
        <v>5.7</v>
      </c>
      <c r="K679" s="4">
        <v>2</v>
      </c>
      <c r="L679" s="2">
        <v>73</v>
      </c>
      <c r="N679" s="6">
        <v>5</v>
      </c>
      <c r="O679" s="17">
        <v>73</v>
      </c>
      <c r="Q679" s="84">
        <v>0</v>
      </c>
      <c r="R679" s="8">
        <v>7.1</v>
      </c>
      <c r="S679" s="8">
        <v>5.7</v>
      </c>
      <c r="T679" s="9">
        <v>7.8703647195834048</v>
      </c>
      <c r="U679" s="9">
        <v>9.6057756972983412</v>
      </c>
      <c r="V679" s="10">
        <v>0.40799999999999997</v>
      </c>
      <c r="X679" s="11">
        <v>103</v>
      </c>
      <c r="AF679" s="80" t="s">
        <v>352</v>
      </c>
      <c r="AI679" s="15" t="s">
        <v>350</v>
      </c>
      <c r="AJ679" s="15" t="s">
        <v>348</v>
      </c>
      <c r="AK679" s="15">
        <v>1996</v>
      </c>
      <c r="AL679" s="15" t="s">
        <v>349</v>
      </c>
    </row>
    <row r="680" spans="1:39" x14ac:dyDescent="0.3">
      <c r="A680" s="1">
        <v>101</v>
      </c>
      <c r="D680" s="2">
        <v>0</v>
      </c>
      <c r="F680" s="2">
        <v>2</v>
      </c>
      <c r="G680" s="3">
        <v>5</v>
      </c>
      <c r="H680" s="2">
        <v>73</v>
      </c>
      <c r="I680" s="3">
        <v>7.1</v>
      </c>
      <c r="J680" s="3">
        <v>5.7</v>
      </c>
      <c r="K680" s="4">
        <v>2</v>
      </c>
      <c r="L680" s="2">
        <v>133</v>
      </c>
      <c r="N680" s="6">
        <v>5</v>
      </c>
      <c r="Q680" s="84">
        <v>0</v>
      </c>
      <c r="T680" s="9">
        <v>9.6456584324087089</v>
      </c>
      <c r="U680" s="9">
        <v>11.565182014048421</v>
      </c>
      <c r="W680" s="10">
        <v>0.77</v>
      </c>
      <c r="X680" s="11">
        <v>163</v>
      </c>
      <c r="AF680" s="80" t="s">
        <v>352</v>
      </c>
      <c r="AI680" s="15" t="s">
        <v>350</v>
      </c>
      <c r="AJ680" s="15" t="s">
        <v>348</v>
      </c>
      <c r="AK680" s="15">
        <v>1996</v>
      </c>
      <c r="AL680" s="15" t="s">
        <v>349</v>
      </c>
    </row>
    <row r="681" spans="1:39" x14ac:dyDescent="0.3">
      <c r="A681" s="1">
        <v>211</v>
      </c>
      <c r="D681" s="2">
        <v>0</v>
      </c>
      <c r="F681" s="2">
        <v>0</v>
      </c>
      <c r="H681" s="2">
        <v>73</v>
      </c>
      <c r="I681" s="3">
        <v>7.5</v>
      </c>
      <c r="J681" s="3">
        <v>4.5999999999999996</v>
      </c>
      <c r="K681" s="4">
        <v>2</v>
      </c>
      <c r="L681" s="2">
        <v>73</v>
      </c>
      <c r="N681" s="6">
        <v>5</v>
      </c>
      <c r="O681" s="17">
        <v>73</v>
      </c>
      <c r="Q681" s="84">
        <v>0</v>
      </c>
      <c r="R681" s="8">
        <v>7.5</v>
      </c>
      <c r="S681" s="8">
        <v>4.5999999999999996</v>
      </c>
      <c r="T681" s="9">
        <v>8.8008998999203047</v>
      </c>
      <c r="U681" s="9">
        <v>6.7489732952018091</v>
      </c>
      <c r="V681" s="10">
        <v>0.55500000000000005</v>
      </c>
      <c r="X681" s="11">
        <v>103</v>
      </c>
      <c r="AI681" s="15" t="s">
        <v>351</v>
      </c>
      <c r="AJ681" s="15" t="s">
        <v>348</v>
      </c>
      <c r="AK681" s="15">
        <v>1996</v>
      </c>
      <c r="AL681" s="15" t="s">
        <v>349</v>
      </c>
    </row>
    <row r="682" spans="1:39" x14ac:dyDescent="0.3">
      <c r="A682" s="1">
        <v>214</v>
      </c>
      <c r="D682" s="2">
        <v>0</v>
      </c>
      <c r="F682" s="2">
        <v>2</v>
      </c>
      <c r="G682" s="3">
        <v>5</v>
      </c>
      <c r="H682" s="2">
        <v>73</v>
      </c>
      <c r="I682" s="3">
        <v>7.5</v>
      </c>
      <c r="J682" s="3">
        <v>4.5999999999999996</v>
      </c>
      <c r="K682" s="4">
        <v>2</v>
      </c>
      <c r="L682" s="2">
        <v>133</v>
      </c>
      <c r="N682" s="6">
        <v>5</v>
      </c>
      <c r="Q682" s="84">
        <v>0</v>
      </c>
      <c r="T682" s="9">
        <v>10.06339508128851</v>
      </c>
      <c r="U682" s="9">
        <v>10.436457719677513</v>
      </c>
      <c r="W682" s="10">
        <v>0.84799999999999998</v>
      </c>
      <c r="X682" s="11">
        <v>163</v>
      </c>
      <c r="AI682" s="15" t="s">
        <v>351</v>
      </c>
      <c r="AJ682" s="15" t="s">
        <v>348</v>
      </c>
      <c r="AK682" s="15">
        <v>1996</v>
      </c>
      <c r="AL682" s="15" t="s">
        <v>349</v>
      </c>
    </row>
    <row r="683" spans="1:39" x14ac:dyDescent="0.3">
      <c r="A683" s="1">
        <v>99</v>
      </c>
      <c r="D683" s="2">
        <v>0</v>
      </c>
      <c r="F683" s="2">
        <v>0</v>
      </c>
      <c r="H683" s="2">
        <v>73</v>
      </c>
      <c r="I683" s="3">
        <v>6</v>
      </c>
      <c r="J683" s="3">
        <v>3.8</v>
      </c>
      <c r="K683" s="4">
        <v>3</v>
      </c>
      <c r="L683" s="2">
        <v>73</v>
      </c>
      <c r="N683" s="6">
        <v>5.5</v>
      </c>
      <c r="O683" s="17">
        <v>73</v>
      </c>
      <c r="Q683" s="84">
        <v>0</v>
      </c>
      <c r="R683" s="8">
        <v>6</v>
      </c>
      <c r="S683" s="8">
        <v>3.8</v>
      </c>
      <c r="T683" s="9">
        <v>6</v>
      </c>
      <c r="U683" s="9">
        <v>6.4426280716368192</v>
      </c>
      <c r="V683" s="10">
        <v>0.27300000000000002</v>
      </c>
      <c r="X683" s="11">
        <v>103</v>
      </c>
      <c r="AF683" s="80" t="s">
        <v>352</v>
      </c>
      <c r="AI683" s="15" t="s">
        <v>350</v>
      </c>
      <c r="AJ683" s="15" t="s">
        <v>348</v>
      </c>
      <c r="AK683" s="15">
        <v>1996</v>
      </c>
      <c r="AL683" s="15" t="s">
        <v>349</v>
      </c>
    </row>
    <row r="684" spans="1:39" x14ac:dyDescent="0.3">
      <c r="A684" s="1">
        <v>101</v>
      </c>
      <c r="D684" s="2">
        <v>0</v>
      </c>
      <c r="F684" s="2">
        <v>2</v>
      </c>
      <c r="G684" s="3">
        <v>5.5</v>
      </c>
      <c r="H684" s="2">
        <v>73</v>
      </c>
      <c r="I684" s="3">
        <v>6</v>
      </c>
      <c r="J684" s="3">
        <v>3.8</v>
      </c>
      <c r="K684" s="4">
        <v>3</v>
      </c>
      <c r="L684" s="2">
        <v>133</v>
      </c>
      <c r="N684" s="6">
        <v>5.5</v>
      </c>
      <c r="Q684" s="84">
        <v>0</v>
      </c>
      <c r="T684" s="9">
        <v>7.366322214245816</v>
      </c>
      <c r="U684" s="9">
        <v>10.824559484231866</v>
      </c>
      <c r="W684" s="10">
        <v>0.67</v>
      </c>
      <c r="X684" s="11">
        <v>163</v>
      </c>
      <c r="AF684" s="80" t="s">
        <v>352</v>
      </c>
      <c r="AI684" s="81" t="s">
        <v>350</v>
      </c>
      <c r="AJ684" s="81" t="s">
        <v>348</v>
      </c>
      <c r="AK684" s="15">
        <v>1996</v>
      </c>
      <c r="AL684" s="81" t="s">
        <v>349</v>
      </c>
      <c r="AM684" s="81"/>
    </row>
    <row r="685" spans="1:39" s="82" customFormat="1" x14ac:dyDescent="0.3">
      <c r="A685" s="67">
        <v>211</v>
      </c>
      <c r="B685" s="68"/>
      <c r="C685" s="68"/>
      <c r="D685" s="68">
        <v>0</v>
      </c>
      <c r="E685" s="68"/>
      <c r="F685" s="68">
        <v>0</v>
      </c>
      <c r="G685" s="69"/>
      <c r="H685" s="68">
        <v>73</v>
      </c>
      <c r="I685" s="69">
        <v>6.1</v>
      </c>
      <c r="J685" s="69">
        <v>3.7</v>
      </c>
      <c r="K685" s="70">
        <v>3</v>
      </c>
      <c r="L685" s="68">
        <v>73</v>
      </c>
      <c r="M685" s="71"/>
      <c r="N685" s="72">
        <v>5.5</v>
      </c>
      <c r="O685" s="84">
        <v>73</v>
      </c>
      <c r="P685" s="73"/>
      <c r="Q685" s="84">
        <v>0</v>
      </c>
      <c r="R685" s="74">
        <v>6.1</v>
      </c>
      <c r="S685" s="74">
        <v>3.7</v>
      </c>
      <c r="T685" s="75">
        <v>6.8073549220576037</v>
      </c>
      <c r="U685" s="75">
        <v>6.7367720179196064</v>
      </c>
      <c r="V685" s="76">
        <v>0.41499999999999998</v>
      </c>
      <c r="W685" s="76"/>
      <c r="X685" s="77">
        <v>103</v>
      </c>
      <c r="Y685" s="78"/>
      <c r="Z685" s="79"/>
      <c r="AA685" s="69"/>
      <c r="AB685" s="68"/>
      <c r="AC685" s="68"/>
      <c r="AD685" s="68"/>
      <c r="AE685" s="80"/>
      <c r="AF685" s="80"/>
      <c r="AG685" s="80"/>
      <c r="AH685" s="80"/>
      <c r="AI685" s="81" t="s">
        <v>351</v>
      </c>
      <c r="AJ685" s="81" t="s">
        <v>348</v>
      </c>
      <c r="AK685" s="81">
        <v>1996</v>
      </c>
      <c r="AL685" s="81" t="s">
        <v>349</v>
      </c>
      <c r="AM685" s="81"/>
    </row>
    <row r="686" spans="1:39" s="82" customFormat="1" x14ac:dyDescent="0.3">
      <c r="A686" s="67">
        <v>214</v>
      </c>
      <c r="B686" s="68"/>
      <c r="C686" s="68"/>
      <c r="D686" s="68">
        <v>0</v>
      </c>
      <c r="E686" s="68"/>
      <c r="F686" s="68">
        <v>2</v>
      </c>
      <c r="G686" s="69">
        <v>5.5</v>
      </c>
      <c r="H686" s="68">
        <v>73</v>
      </c>
      <c r="I686" s="69">
        <v>6.1</v>
      </c>
      <c r="J686" s="69">
        <v>3.7</v>
      </c>
      <c r="K686" s="70">
        <v>3</v>
      </c>
      <c r="L686" s="68">
        <v>133</v>
      </c>
      <c r="M686" s="71"/>
      <c r="N686" s="72">
        <v>5.5</v>
      </c>
      <c r="O686" s="84"/>
      <c r="P686" s="73"/>
      <c r="Q686" s="84">
        <v>0</v>
      </c>
      <c r="R686" s="74"/>
      <c r="S686" s="74"/>
      <c r="T686" s="75">
        <v>7.8328900141647422</v>
      </c>
      <c r="U686" s="75">
        <v>11.207039305349191</v>
      </c>
      <c r="V686" s="76"/>
      <c r="W686" s="76">
        <v>0.74299999999999999</v>
      </c>
      <c r="X686" s="77">
        <v>163</v>
      </c>
      <c r="Y686" s="78"/>
      <c r="Z686" s="79"/>
      <c r="AA686" s="69"/>
      <c r="AB686" s="68"/>
      <c r="AC686" s="68"/>
      <c r="AD686" s="68"/>
      <c r="AE686" s="80"/>
      <c r="AF686" s="80"/>
      <c r="AG686" s="80"/>
      <c r="AH686" s="80"/>
      <c r="AI686" s="81" t="s">
        <v>351</v>
      </c>
      <c r="AJ686" s="81" t="s">
        <v>348</v>
      </c>
      <c r="AK686" s="81">
        <v>1996</v>
      </c>
      <c r="AL686" s="81" t="s">
        <v>349</v>
      </c>
      <c r="AM686" s="81"/>
    </row>
    <row r="687" spans="1:39" s="82" customFormat="1" x14ac:dyDescent="0.3">
      <c r="A687" s="67">
        <v>32</v>
      </c>
      <c r="B687" s="68">
        <v>32</v>
      </c>
      <c r="C687" s="68"/>
      <c r="D687" s="68">
        <v>0</v>
      </c>
      <c r="E687" s="68"/>
      <c r="F687" s="68">
        <v>2</v>
      </c>
      <c r="G687" s="69">
        <v>5.5</v>
      </c>
      <c r="H687" s="68"/>
      <c r="I687" s="69"/>
      <c r="J687" s="69"/>
      <c r="K687" s="70">
        <v>1</v>
      </c>
      <c r="L687" s="68">
        <v>2520</v>
      </c>
      <c r="M687" s="71"/>
      <c r="N687" s="72">
        <v>5.5</v>
      </c>
      <c r="O687" s="84">
        <v>2520</v>
      </c>
      <c r="P687" s="73">
        <v>0.4375</v>
      </c>
      <c r="Q687" s="84">
        <v>0</v>
      </c>
      <c r="R687" s="74">
        <v>1.88</v>
      </c>
      <c r="S687" s="74">
        <v>3.2</v>
      </c>
      <c r="T687" s="75">
        <v>8.6300000000000008</v>
      </c>
      <c r="U687" s="75">
        <v>9.6999999999999993</v>
      </c>
      <c r="V687" s="76"/>
      <c r="W687" s="76">
        <v>0.96875</v>
      </c>
      <c r="X687" s="77">
        <v>2543</v>
      </c>
      <c r="Y687" s="78">
        <f>21/32</f>
        <v>0.65625</v>
      </c>
      <c r="Z687" s="79"/>
      <c r="AA687" s="69"/>
      <c r="AB687" s="68"/>
      <c r="AC687" s="68"/>
      <c r="AD687" s="68"/>
      <c r="AE687" s="80"/>
      <c r="AF687" s="80"/>
      <c r="AG687" s="80"/>
      <c r="AH687" s="80"/>
      <c r="AI687" s="81" t="s">
        <v>330</v>
      </c>
      <c r="AJ687" s="81" t="s">
        <v>150</v>
      </c>
      <c r="AK687" s="81">
        <v>1984</v>
      </c>
      <c r="AL687" s="81" t="s">
        <v>151</v>
      </c>
      <c r="AM687" s="81" t="s">
        <v>329</v>
      </c>
    </row>
    <row r="688" spans="1:39" s="82" customFormat="1" x14ac:dyDescent="0.3">
      <c r="A688" s="67">
        <v>17</v>
      </c>
      <c r="B688" s="68"/>
      <c r="C688" s="68"/>
      <c r="D688" s="68">
        <v>0</v>
      </c>
      <c r="E688" s="68"/>
      <c r="F688" s="68">
        <v>2</v>
      </c>
      <c r="G688" s="69">
        <v>5.5</v>
      </c>
      <c r="H688" s="68"/>
      <c r="I688" s="69"/>
      <c r="J688" s="69"/>
      <c r="K688" s="70">
        <v>1</v>
      </c>
      <c r="L688" s="68">
        <v>150</v>
      </c>
      <c r="M688" s="71"/>
      <c r="N688" s="72"/>
      <c r="O688" s="84"/>
      <c r="P688" s="73"/>
      <c r="Q688" s="84">
        <v>0</v>
      </c>
      <c r="R688" s="74"/>
      <c r="S688" s="74"/>
      <c r="T688" s="75">
        <v>3.86</v>
      </c>
      <c r="U688" s="75">
        <v>5.12</v>
      </c>
      <c r="V688" s="76"/>
      <c r="W688" s="76"/>
      <c r="X688" s="77">
        <v>515</v>
      </c>
      <c r="Y688" s="78"/>
      <c r="Z688" s="79"/>
      <c r="AA688" s="69"/>
      <c r="AB688" s="68"/>
      <c r="AC688" s="68"/>
      <c r="AD688" s="68"/>
      <c r="AE688" s="80"/>
      <c r="AF688" s="80"/>
      <c r="AG688" s="80"/>
      <c r="AH688" s="80"/>
      <c r="AI688" s="81" t="s">
        <v>325</v>
      </c>
      <c r="AJ688" s="81" t="s">
        <v>150</v>
      </c>
      <c r="AK688" s="81">
        <v>1984</v>
      </c>
      <c r="AL688" s="81" t="s">
        <v>151</v>
      </c>
      <c r="AM688" s="81" t="s">
        <v>326</v>
      </c>
    </row>
    <row r="689" spans="1:39" s="82" customFormat="1" x14ac:dyDescent="0.3">
      <c r="A689" s="67">
        <v>17</v>
      </c>
      <c r="B689" s="68"/>
      <c r="C689" s="68"/>
      <c r="D689" s="68">
        <v>0</v>
      </c>
      <c r="E689" s="68"/>
      <c r="F689" s="68">
        <v>2</v>
      </c>
      <c r="G689" s="69">
        <v>5.5</v>
      </c>
      <c r="H689" s="68"/>
      <c r="I689" s="69"/>
      <c r="J689" s="69"/>
      <c r="K689" s="70">
        <v>1</v>
      </c>
      <c r="L689" s="68">
        <v>1975</v>
      </c>
      <c r="M689" s="71"/>
      <c r="N689" s="72">
        <v>5.5</v>
      </c>
      <c r="O689" s="84">
        <v>1975</v>
      </c>
      <c r="P689" s="73"/>
      <c r="Q689" s="84">
        <v>0</v>
      </c>
      <c r="R689" s="74">
        <v>1.86</v>
      </c>
      <c r="S689" s="74">
        <v>1.98</v>
      </c>
      <c r="T689" s="75">
        <v>8.93</v>
      </c>
      <c r="U689" s="75">
        <v>2.21</v>
      </c>
      <c r="V689" s="76"/>
      <c r="W689" s="76"/>
      <c r="X689" s="77">
        <v>2340</v>
      </c>
      <c r="Y689" s="78"/>
      <c r="Z689" s="79"/>
      <c r="AA689" s="69"/>
      <c r="AB689" s="68"/>
      <c r="AC689" s="68"/>
      <c r="AD689" s="68"/>
      <c r="AE689" s="80"/>
      <c r="AF689" s="80"/>
      <c r="AG689" s="80"/>
      <c r="AH689" s="80"/>
      <c r="AI689" s="81" t="s">
        <v>325</v>
      </c>
      <c r="AJ689" s="81" t="s">
        <v>150</v>
      </c>
      <c r="AK689" s="81">
        <v>1984</v>
      </c>
      <c r="AL689" s="81" t="s">
        <v>151</v>
      </c>
      <c r="AM689" s="81" t="s">
        <v>326</v>
      </c>
    </row>
    <row r="690" spans="1:39" s="82" customFormat="1" x14ac:dyDescent="0.3">
      <c r="A690" s="67">
        <v>17</v>
      </c>
      <c r="B690" s="68"/>
      <c r="C690" s="68"/>
      <c r="D690" s="68">
        <v>0</v>
      </c>
      <c r="E690" s="68"/>
      <c r="F690" s="68">
        <v>3</v>
      </c>
      <c r="G690" s="69">
        <v>5.5</v>
      </c>
      <c r="H690" s="68"/>
      <c r="I690" s="69"/>
      <c r="J690" s="69"/>
      <c r="K690" s="70">
        <v>1</v>
      </c>
      <c r="L690" s="68">
        <v>3070</v>
      </c>
      <c r="M690" s="71"/>
      <c r="N690" s="72"/>
      <c r="O690" s="84">
        <v>3070</v>
      </c>
      <c r="P690" s="73"/>
      <c r="Q690" s="84">
        <v>0</v>
      </c>
      <c r="R690" s="74">
        <v>5</v>
      </c>
      <c r="S690" s="74">
        <v>1.29</v>
      </c>
      <c r="T690" s="75">
        <v>4.21</v>
      </c>
      <c r="U690" s="75">
        <v>0.88</v>
      </c>
      <c r="V690" s="76"/>
      <c r="W690" s="76"/>
      <c r="X690" s="77">
        <v>3800</v>
      </c>
      <c r="Y690" s="78"/>
      <c r="Z690" s="79"/>
      <c r="AA690" s="69"/>
      <c r="AB690" s="68"/>
      <c r="AC690" s="68"/>
      <c r="AD690" s="68"/>
      <c r="AE690" s="80"/>
      <c r="AF690" s="80"/>
      <c r="AG690" s="80"/>
      <c r="AH690" s="80"/>
      <c r="AI690" s="81" t="s">
        <v>325</v>
      </c>
      <c r="AJ690" s="81" t="s">
        <v>150</v>
      </c>
      <c r="AK690" s="81">
        <v>1984</v>
      </c>
      <c r="AL690" s="81" t="s">
        <v>151</v>
      </c>
      <c r="AM690" s="81" t="s">
        <v>326</v>
      </c>
    </row>
    <row r="691" spans="1:39" s="82" customFormat="1" x14ac:dyDescent="0.3">
      <c r="A691" s="67">
        <v>30</v>
      </c>
      <c r="B691" s="68"/>
      <c r="C691" s="68"/>
      <c r="D691" s="68">
        <v>0</v>
      </c>
      <c r="E691" s="68"/>
      <c r="F691" s="68">
        <v>2</v>
      </c>
      <c r="G691" s="69">
        <v>5.5</v>
      </c>
      <c r="H691" s="68"/>
      <c r="I691" s="69"/>
      <c r="J691" s="69"/>
      <c r="K691" s="70">
        <v>1</v>
      </c>
      <c r="L691" s="68">
        <v>515</v>
      </c>
      <c r="M691" s="71"/>
      <c r="N691" s="72"/>
      <c r="O691" s="84">
        <v>515</v>
      </c>
      <c r="P691" s="73"/>
      <c r="Q691" s="84">
        <v>0</v>
      </c>
      <c r="R691" s="74">
        <v>5.8</v>
      </c>
      <c r="S691" s="74">
        <v>1.4</v>
      </c>
      <c r="T691" s="75">
        <v>5.3</v>
      </c>
      <c r="U691" s="75">
        <v>1.41</v>
      </c>
      <c r="V691" s="76"/>
      <c r="W691" s="76"/>
      <c r="X691" s="77">
        <v>880</v>
      </c>
      <c r="Y691" s="78"/>
      <c r="Z691" s="79"/>
      <c r="AA691" s="69"/>
      <c r="AB691" s="68"/>
      <c r="AC691" s="68"/>
      <c r="AD691" s="68"/>
      <c r="AE691" s="80"/>
      <c r="AF691" s="80"/>
      <c r="AG691" s="80"/>
      <c r="AH691" s="80"/>
      <c r="AI691" s="81" t="s">
        <v>324</v>
      </c>
      <c r="AJ691" s="81" t="s">
        <v>150</v>
      </c>
      <c r="AK691" s="81">
        <v>1984</v>
      </c>
      <c r="AL691" s="81" t="s">
        <v>151</v>
      </c>
      <c r="AM691" s="81" t="s">
        <v>327</v>
      </c>
    </row>
    <row r="692" spans="1:39" s="82" customFormat="1" x14ac:dyDescent="0.3">
      <c r="A692" s="67">
        <v>30</v>
      </c>
      <c r="B692" s="68"/>
      <c r="C692" s="68"/>
      <c r="D692" s="68">
        <v>0</v>
      </c>
      <c r="E692" s="68"/>
      <c r="F692" s="68">
        <v>2</v>
      </c>
      <c r="G692" s="69">
        <v>5.5</v>
      </c>
      <c r="H692" s="68"/>
      <c r="I692" s="69"/>
      <c r="J692" s="69"/>
      <c r="K692" s="70">
        <v>1</v>
      </c>
      <c r="L692" s="68">
        <v>1245</v>
      </c>
      <c r="M692" s="71"/>
      <c r="N692" s="72"/>
      <c r="O692" s="84">
        <v>1245</v>
      </c>
      <c r="P692" s="73"/>
      <c r="Q692" s="84">
        <v>0</v>
      </c>
      <c r="R692" s="74">
        <v>5</v>
      </c>
      <c r="S692" s="74">
        <v>0.8</v>
      </c>
      <c r="T692" s="75">
        <v>4.9000000000000004</v>
      </c>
      <c r="U692" s="75">
        <v>0.9</v>
      </c>
      <c r="V692" s="76"/>
      <c r="W692" s="76"/>
      <c r="X692" s="77">
        <v>1610</v>
      </c>
      <c r="Y692" s="78"/>
      <c r="Z692" s="79"/>
      <c r="AA692" s="69"/>
      <c r="AB692" s="68"/>
      <c r="AC692" s="68"/>
      <c r="AD692" s="68"/>
      <c r="AE692" s="80"/>
      <c r="AF692" s="80"/>
      <c r="AG692" s="80"/>
      <c r="AH692" s="80"/>
      <c r="AI692" s="81" t="s">
        <v>324</v>
      </c>
      <c r="AJ692" s="81" t="s">
        <v>150</v>
      </c>
      <c r="AK692" s="81">
        <v>1984</v>
      </c>
      <c r="AL692" s="81" t="s">
        <v>151</v>
      </c>
      <c r="AM692" s="81" t="s">
        <v>327</v>
      </c>
    </row>
    <row r="693" spans="1:39" s="82" customFormat="1" x14ac:dyDescent="0.3">
      <c r="A693" s="67">
        <v>30</v>
      </c>
      <c r="B693" s="68"/>
      <c r="C693" s="68"/>
      <c r="D693" s="68">
        <v>0</v>
      </c>
      <c r="E693" s="68"/>
      <c r="F693" s="68">
        <v>2</v>
      </c>
      <c r="G693" s="69">
        <v>5.5</v>
      </c>
      <c r="H693" s="68"/>
      <c r="I693" s="69"/>
      <c r="J693" s="69"/>
      <c r="K693" s="70">
        <v>1</v>
      </c>
      <c r="L693" s="68">
        <v>1975</v>
      </c>
      <c r="M693" s="71"/>
      <c r="N693" s="72"/>
      <c r="O693" s="84">
        <v>1975</v>
      </c>
      <c r="P693" s="73"/>
      <c r="Q693" s="84">
        <v>0</v>
      </c>
      <c r="R693" s="74">
        <v>4.9000000000000004</v>
      </c>
      <c r="S693" s="74">
        <v>1.1000000000000001</v>
      </c>
      <c r="T693" s="75">
        <v>4.5999999999999996</v>
      </c>
      <c r="U693" s="75">
        <v>2</v>
      </c>
      <c r="V693" s="76"/>
      <c r="W693" s="76"/>
      <c r="X693" s="77">
        <v>2340</v>
      </c>
      <c r="Y693" s="78"/>
      <c r="Z693" s="79"/>
      <c r="AA693" s="69"/>
      <c r="AB693" s="68"/>
      <c r="AC693" s="68"/>
      <c r="AD693" s="68"/>
      <c r="AE693" s="80"/>
      <c r="AF693" s="80"/>
      <c r="AG693" s="80"/>
      <c r="AH693" s="80"/>
      <c r="AI693" s="81" t="s">
        <v>324</v>
      </c>
      <c r="AJ693" s="81" t="s">
        <v>150</v>
      </c>
      <c r="AK693" s="81">
        <v>1984</v>
      </c>
      <c r="AL693" s="81" t="s">
        <v>151</v>
      </c>
      <c r="AM693" s="81" t="s">
        <v>327</v>
      </c>
    </row>
    <row r="694" spans="1:39" s="82" customFormat="1" x14ac:dyDescent="0.3">
      <c r="A694" s="67">
        <v>30</v>
      </c>
      <c r="B694" s="68"/>
      <c r="C694" s="68"/>
      <c r="D694" s="68">
        <v>0</v>
      </c>
      <c r="E694" s="68"/>
      <c r="F694" s="68">
        <v>2</v>
      </c>
      <c r="G694" s="69">
        <v>5.5</v>
      </c>
      <c r="H694" s="68"/>
      <c r="I694" s="69"/>
      <c r="J694" s="69"/>
      <c r="K694" s="70">
        <v>1</v>
      </c>
      <c r="L694" s="68">
        <v>3070</v>
      </c>
      <c r="M694" s="71"/>
      <c r="N694" s="72"/>
      <c r="O694" s="84">
        <v>3070</v>
      </c>
      <c r="P694" s="73"/>
      <c r="Q694" s="84">
        <v>0</v>
      </c>
      <c r="R694" s="74">
        <v>3.67</v>
      </c>
      <c r="S694" s="74">
        <v>3.62</v>
      </c>
      <c r="T694" s="75">
        <v>2.48</v>
      </c>
      <c r="U694" s="75">
        <v>3.35</v>
      </c>
      <c r="V694" s="76"/>
      <c r="W694" s="76"/>
      <c r="X694" s="77">
        <v>3800</v>
      </c>
      <c r="Y694" s="78"/>
      <c r="Z694" s="79"/>
      <c r="AA694" s="69"/>
      <c r="AB694" s="68"/>
      <c r="AC694" s="68"/>
      <c r="AD694" s="68"/>
      <c r="AE694" s="80"/>
      <c r="AF694" s="80"/>
      <c r="AG694" s="80"/>
      <c r="AH694" s="80"/>
      <c r="AI694" s="81" t="s">
        <v>324</v>
      </c>
      <c r="AJ694" s="81" t="s">
        <v>150</v>
      </c>
      <c r="AK694" s="81">
        <v>1984</v>
      </c>
      <c r="AL694" s="81" t="s">
        <v>151</v>
      </c>
      <c r="AM694" s="81" t="s">
        <v>327</v>
      </c>
    </row>
    <row r="695" spans="1:39" s="82" customFormat="1" x14ac:dyDescent="0.3">
      <c r="A695" s="67">
        <v>32</v>
      </c>
      <c r="B695" s="68">
        <v>32</v>
      </c>
      <c r="C695" s="68"/>
      <c r="D695" s="68">
        <v>0</v>
      </c>
      <c r="E695" s="68"/>
      <c r="F695" s="68">
        <v>2</v>
      </c>
      <c r="G695" s="69">
        <v>5.5</v>
      </c>
      <c r="H695" s="68"/>
      <c r="I695" s="69"/>
      <c r="J695" s="69"/>
      <c r="K695" s="70">
        <v>2</v>
      </c>
      <c r="L695" s="68">
        <v>2520</v>
      </c>
      <c r="M695" s="71"/>
      <c r="N695" s="72">
        <v>5.5</v>
      </c>
      <c r="O695" s="84">
        <v>2520</v>
      </c>
      <c r="P695" s="73">
        <v>0.96875</v>
      </c>
      <c r="Q695" s="84">
        <v>0</v>
      </c>
      <c r="R695" s="74">
        <v>6.19</v>
      </c>
      <c r="S695" s="74">
        <v>4.3</v>
      </c>
      <c r="T695" s="75">
        <v>9.81</v>
      </c>
      <c r="U695" s="75">
        <v>5.65</v>
      </c>
      <c r="V695" s="76"/>
      <c r="W695" s="76">
        <v>1</v>
      </c>
      <c r="X695" s="77">
        <v>2543</v>
      </c>
      <c r="Y695" s="78">
        <f>4/32</f>
        <v>0.125</v>
      </c>
      <c r="Z695" s="79"/>
      <c r="AA695" s="69"/>
      <c r="AB695" s="68"/>
      <c r="AC695" s="68"/>
      <c r="AD695" s="68"/>
      <c r="AE695" s="80"/>
      <c r="AF695" s="80"/>
      <c r="AG695" s="80"/>
      <c r="AH695" s="80"/>
      <c r="AI695" s="81" t="s">
        <v>330</v>
      </c>
      <c r="AJ695" s="81" t="s">
        <v>150</v>
      </c>
      <c r="AK695" s="81">
        <v>1984</v>
      </c>
      <c r="AL695" s="81" t="s">
        <v>151</v>
      </c>
      <c r="AM695" s="81" t="s">
        <v>329</v>
      </c>
    </row>
    <row r="696" spans="1:39" s="82" customFormat="1" x14ac:dyDescent="0.3">
      <c r="A696" s="67">
        <v>17</v>
      </c>
      <c r="B696" s="68"/>
      <c r="C696" s="68"/>
      <c r="D696" s="68">
        <v>0</v>
      </c>
      <c r="E696" s="68"/>
      <c r="F696" s="68">
        <v>2</v>
      </c>
      <c r="G696" s="69">
        <v>5.5</v>
      </c>
      <c r="H696" s="68"/>
      <c r="I696" s="69"/>
      <c r="J696" s="69"/>
      <c r="K696" s="70">
        <v>2</v>
      </c>
      <c r="L696" s="68">
        <v>150</v>
      </c>
      <c r="M696" s="71"/>
      <c r="N696" s="72"/>
      <c r="O696" s="84"/>
      <c r="P696" s="73"/>
      <c r="Q696" s="84">
        <v>0</v>
      </c>
      <c r="R696" s="74"/>
      <c r="S696" s="74"/>
      <c r="T696" s="75">
        <v>5.33</v>
      </c>
      <c r="U696" s="75">
        <v>1.56</v>
      </c>
      <c r="V696" s="76"/>
      <c r="W696" s="76"/>
      <c r="X696" s="77">
        <v>515</v>
      </c>
      <c r="Y696" s="78"/>
      <c r="Z696" s="79"/>
      <c r="AA696" s="69"/>
      <c r="AB696" s="68"/>
      <c r="AC696" s="68"/>
      <c r="AD696" s="68"/>
      <c r="AE696" s="80"/>
      <c r="AF696" s="80"/>
      <c r="AG696" s="80"/>
      <c r="AH696" s="80"/>
      <c r="AI696" s="81" t="s">
        <v>325</v>
      </c>
      <c r="AJ696" s="81" t="s">
        <v>150</v>
      </c>
      <c r="AK696" s="81">
        <v>1984</v>
      </c>
      <c r="AL696" s="81" t="s">
        <v>151</v>
      </c>
      <c r="AM696" s="81" t="s">
        <v>326</v>
      </c>
    </row>
    <row r="697" spans="1:39" s="82" customFormat="1" x14ac:dyDescent="0.3">
      <c r="A697" s="67">
        <v>17</v>
      </c>
      <c r="B697" s="68"/>
      <c r="C697" s="68"/>
      <c r="D697" s="68">
        <v>0</v>
      </c>
      <c r="E697" s="68"/>
      <c r="F697" s="68">
        <v>2</v>
      </c>
      <c r="G697" s="69">
        <v>5.5</v>
      </c>
      <c r="H697" s="68"/>
      <c r="I697" s="69"/>
      <c r="J697" s="69"/>
      <c r="K697" s="70">
        <v>2</v>
      </c>
      <c r="L697" s="68">
        <v>1975</v>
      </c>
      <c r="M697" s="71"/>
      <c r="N697" s="72">
        <v>5.5</v>
      </c>
      <c r="O697" s="84">
        <v>1975</v>
      </c>
      <c r="P697" s="73"/>
      <c r="Q697" s="84">
        <v>0</v>
      </c>
      <c r="R697" s="74">
        <v>1.5</v>
      </c>
      <c r="S697" s="74">
        <v>2.25</v>
      </c>
      <c r="T697" s="75">
        <v>10.33</v>
      </c>
      <c r="U697" s="75">
        <v>0.56000000000000005</v>
      </c>
      <c r="V697" s="76"/>
      <c r="W697" s="76"/>
      <c r="X697" s="77">
        <v>2340</v>
      </c>
      <c r="Y697" s="78"/>
      <c r="Z697" s="79"/>
      <c r="AA697" s="69"/>
      <c r="AB697" s="68"/>
      <c r="AC697" s="68"/>
      <c r="AD697" s="68"/>
      <c r="AE697" s="80"/>
      <c r="AF697" s="80"/>
      <c r="AG697" s="80"/>
      <c r="AH697" s="80"/>
      <c r="AI697" s="81" t="s">
        <v>325</v>
      </c>
      <c r="AJ697" s="81" t="s">
        <v>150</v>
      </c>
      <c r="AK697" s="81">
        <v>1984</v>
      </c>
      <c r="AL697" s="81" t="s">
        <v>151</v>
      </c>
      <c r="AM697" s="81" t="s">
        <v>326</v>
      </c>
    </row>
    <row r="698" spans="1:39" s="82" customFormat="1" x14ac:dyDescent="0.3">
      <c r="A698" s="67">
        <v>17</v>
      </c>
      <c r="B698" s="68"/>
      <c r="C698" s="68"/>
      <c r="D698" s="68">
        <v>0</v>
      </c>
      <c r="E698" s="68"/>
      <c r="F698" s="68">
        <v>3</v>
      </c>
      <c r="G698" s="69">
        <v>5.5</v>
      </c>
      <c r="H698" s="68"/>
      <c r="I698" s="69"/>
      <c r="J698" s="69"/>
      <c r="K698" s="70">
        <v>2</v>
      </c>
      <c r="L698" s="68">
        <v>3070</v>
      </c>
      <c r="M698" s="71"/>
      <c r="N698" s="72"/>
      <c r="O698" s="84">
        <v>3070</v>
      </c>
      <c r="P698" s="73"/>
      <c r="Q698" s="84">
        <v>0</v>
      </c>
      <c r="R698" s="74">
        <v>7.17</v>
      </c>
      <c r="S698" s="74">
        <v>2.14</v>
      </c>
      <c r="T698" s="75">
        <v>7</v>
      </c>
      <c r="U698" s="75">
        <v>1.67</v>
      </c>
      <c r="V698" s="76"/>
      <c r="W698" s="76"/>
      <c r="X698" s="77">
        <v>3800</v>
      </c>
      <c r="Y698" s="78"/>
      <c r="Z698" s="79"/>
      <c r="AA698" s="69"/>
      <c r="AB698" s="68"/>
      <c r="AC698" s="68"/>
      <c r="AD698" s="68"/>
      <c r="AE698" s="80"/>
      <c r="AF698" s="80"/>
      <c r="AG698" s="80"/>
      <c r="AH698" s="80"/>
      <c r="AI698" s="81" t="s">
        <v>325</v>
      </c>
      <c r="AJ698" s="81" t="s">
        <v>150</v>
      </c>
      <c r="AK698" s="81">
        <v>1984</v>
      </c>
      <c r="AL698" s="81" t="s">
        <v>151</v>
      </c>
      <c r="AM698" s="81" t="s">
        <v>326</v>
      </c>
    </row>
    <row r="699" spans="1:39" s="82" customFormat="1" x14ac:dyDescent="0.3">
      <c r="A699" s="67">
        <v>30</v>
      </c>
      <c r="B699" s="68"/>
      <c r="C699" s="68"/>
      <c r="D699" s="68">
        <v>0</v>
      </c>
      <c r="E699" s="68"/>
      <c r="F699" s="68">
        <v>2</v>
      </c>
      <c r="G699" s="69">
        <v>5.5</v>
      </c>
      <c r="H699" s="68"/>
      <c r="I699" s="69"/>
      <c r="J699" s="69"/>
      <c r="K699" s="70">
        <v>2</v>
      </c>
      <c r="L699" s="68">
        <v>515</v>
      </c>
      <c r="M699" s="71"/>
      <c r="N699" s="72"/>
      <c r="O699" s="84">
        <v>515</v>
      </c>
      <c r="P699" s="73"/>
      <c r="Q699" s="84">
        <v>0</v>
      </c>
      <c r="R699" s="74">
        <v>7.83</v>
      </c>
      <c r="S699" s="74">
        <v>3.89</v>
      </c>
      <c r="T699" s="75">
        <v>7.42</v>
      </c>
      <c r="U699" s="75">
        <v>3.83</v>
      </c>
      <c r="V699" s="76"/>
      <c r="W699" s="76"/>
      <c r="X699" s="77">
        <v>880</v>
      </c>
      <c r="Y699" s="78"/>
      <c r="Z699" s="79"/>
      <c r="AA699" s="69"/>
      <c r="AB699" s="68"/>
      <c r="AC699" s="68"/>
      <c r="AD699" s="68"/>
      <c r="AE699" s="80"/>
      <c r="AF699" s="80"/>
      <c r="AG699" s="80"/>
      <c r="AH699" s="80"/>
      <c r="AI699" s="81" t="s">
        <v>324</v>
      </c>
      <c r="AJ699" s="81" t="s">
        <v>150</v>
      </c>
      <c r="AK699" s="81">
        <v>1984</v>
      </c>
      <c r="AL699" s="81" t="s">
        <v>151</v>
      </c>
      <c r="AM699" s="81" t="s">
        <v>327</v>
      </c>
    </row>
    <row r="700" spans="1:39" s="82" customFormat="1" x14ac:dyDescent="0.3">
      <c r="A700" s="67">
        <v>30</v>
      </c>
      <c r="B700" s="68"/>
      <c r="C700" s="68"/>
      <c r="D700" s="68">
        <v>0</v>
      </c>
      <c r="E700" s="68"/>
      <c r="F700" s="68">
        <v>2</v>
      </c>
      <c r="G700" s="69">
        <v>5.5</v>
      </c>
      <c r="H700" s="68"/>
      <c r="I700" s="69"/>
      <c r="J700" s="69"/>
      <c r="K700" s="70">
        <v>2</v>
      </c>
      <c r="L700" s="68">
        <v>1245</v>
      </c>
      <c r="M700" s="71"/>
      <c r="N700" s="72"/>
      <c r="O700" s="84">
        <v>1245</v>
      </c>
      <c r="P700" s="73"/>
      <c r="Q700" s="84">
        <v>0</v>
      </c>
      <c r="R700" s="74">
        <v>6.97</v>
      </c>
      <c r="S700" s="74">
        <v>3.9</v>
      </c>
      <c r="T700" s="75">
        <v>6.77</v>
      </c>
      <c r="U700" s="75">
        <v>3.78</v>
      </c>
      <c r="V700" s="76"/>
      <c r="W700" s="76"/>
      <c r="X700" s="77">
        <v>1610</v>
      </c>
      <c r="Y700" s="78"/>
      <c r="Z700" s="79"/>
      <c r="AA700" s="69"/>
      <c r="AB700" s="68"/>
      <c r="AC700" s="68"/>
      <c r="AD700" s="68"/>
      <c r="AE700" s="80"/>
      <c r="AF700" s="80"/>
      <c r="AG700" s="80"/>
      <c r="AH700" s="80"/>
      <c r="AI700" s="81" t="s">
        <v>324</v>
      </c>
      <c r="AJ700" s="81" t="s">
        <v>150</v>
      </c>
      <c r="AK700" s="81">
        <v>1984</v>
      </c>
      <c r="AL700" s="81" t="s">
        <v>151</v>
      </c>
      <c r="AM700" s="81" t="s">
        <v>327</v>
      </c>
    </row>
    <row r="701" spans="1:39" s="82" customFormat="1" x14ac:dyDescent="0.3">
      <c r="A701" s="67">
        <v>30</v>
      </c>
      <c r="B701" s="68"/>
      <c r="C701" s="68"/>
      <c r="D701" s="68">
        <v>0</v>
      </c>
      <c r="E701" s="68"/>
      <c r="F701" s="68">
        <v>2</v>
      </c>
      <c r="G701" s="69">
        <v>5.5</v>
      </c>
      <c r="H701" s="68"/>
      <c r="I701" s="69"/>
      <c r="J701" s="69"/>
      <c r="K701" s="70">
        <v>2</v>
      </c>
      <c r="L701" s="68">
        <v>1975</v>
      </c>
      <c r="M701" s="71"/>
      <c r="N701" s="72"/>
      <c r="O701" s="84">
        <v>1975</v>
      </c>
      <c r="P701" s="73"/>
      <c r="Q701" s="84">
        <v>0</v>
      </c>
      <c r="R701" s="74">
        <v>7.55</v>
      </c>
      <c r="S701" s="74">
        <v>4.51</v>
      </c>
      <c r="T701" s="75">
        <v>6.97</v>
      </c>
      <c r="U701" s="75">
        <v>3</v>
      </c>
      <c r="V701" s="76"/>
      <c r="W701" s="76"/>
      <c r="X701" s="77">
        <v>2340</v>
      </c>
      <c r="Y701" s="78"/>
      <c r="Z701" s="79"/>
      <c r="AA701" s="69"/>
      <c r="AB701" s="68"/>
      <c r="AC701" s="68"/>
      <c r="AD701" s="68"/>
      <c r="AE701" s="80"/>
      <c r="AF701" s="80"/>
      <c r="AG701" s="80"/>
      <c r="AH701" s="80"/>
      <c r="AI701" s="81" t="s">
        <v>324</v>
      </c>
      <c r="AJ701" s="81" t="s">
        <v>150</v>
      </c>
      <c r="AK701" s="81">
        <v>1984</v>
      </c>
      <c r="AL701" s="81" t="s">
        <v>151</v>
      </c>
      <c r="AM701" s="81" t="s">
        <v>327</v>
      </c>
    </row>
    <row r="702" spans="1:39" s="82" customFormat="1" x14ac:dyDescent="0.3">
      <c r="A702" s="67">
        <v>30</v>
      </c>
      <c r="B702" s="68"/>
      <c r="C702" s="68"/>
      <c r="D702" s="68">
        <v>0</v>
      </c>
      <c r="E702" s="68"/>
      <c r="F702" s="68">
        <v>2</v>
      </c>
      <c r="G702" s="69">
        <v>5.5</v>
      </c>
      <c r="H702" s="68"/>
      <c r="I702" s="69"/>
      <c r="J702" s="69"/>
      <c r="K702" s="70">
        <v>2</v>
      </c>
      <c r="L702" s="68">
        <v>3070</v>
      </c>
      <c r="M702" s="71"/>
      <c r="N702" s="72"/>
      <c r="O702" s="84">
        <v>3070</v>
      </c>
      <c r="P702" s="73"/>
      <c r="Q702" s="84">
        <v>0</v>
      </c>
      <c r="R702" s="74">
        <v>6.07</v>
      </c>
      <c r="S702" s="74">
        <v>2.5299999999999998</v>
      </c>
      <c r="T702" s="75">
        <v>5.72</v>
      </c>
      <c r="U702" s="75">
        <v>2.41</v>
      </c>
      <c r="V702" s="76"/>
      <c r="W702" s="76"/>
      <c r="X702" s="77">
        <v>3800</v>
      </c>
      <c r="Y702" s="78"/>
      <c r="Z702" s="79"/>
      <c r="AA702" s="69"/>
      <c r="AB702" s="68"/>
      <c r="AC702" s="68"/>
      <c r="AD702" s="68"/>
      <c r="AE702" s="80"/>
      <c r="AF702" s="80"/>
      <c r="AG702" s="80"/>
      <c r="AH702" s="80"/>
      <c r="AI702" s="81" t="s">
        <v>324</v>
      </c>
      <c r="AJ702" s="81" t="s">
        <v>150</v>
      </c>
      <c r="AK702" s="81">
        <v>1984</v>
      </c>
      <c r="AL702" s="81" t="s">
        <v>151</v>
      </c>
      <c r="AM702" s="81" t="s">
        <v>327</v>
      </c>
    </row>
    <row r="703" spans="1:39" s="82" customFormat="1" x14ac:dyDescent="0.3">
      <c r="A703" s="67">
        <v>32</v>
      </c>
      <c r="B703" s="68">
        <v>32</v>
      </c>
      <c r="C703" s="68"/>
      <c r="D703" s="68">
        <v>0</v>
      </c>
      <c r="E703" s="68"/>
      <c r="F703" s="68">
        <v>2</v>
      </c>
      <c r="G703" s="69">
        <v>5.5</v>
      </c>
      <c r="H703" s="68"/>
      <c r="I703" s="69"/>
      <c r="J703" s="69"/>
      <c r="K703" s="70">
        <v>3</v>
      </c>
      <c r="L703" s="68">
        <v>2520</v>
      </c>
      <c r="M703" s="71"/>
      <c r="N703" s="72">
        <v>5.5</v>
      </c>
      <c r="O703" s="84">
        <v>2520</v>
      </c>
      <c r="P703" s="73">
        <v>0.71875</v>
      </c>
      <c r="Q703" s="84">
        <v>0</v>
      </c>
      <c r="R703" s="74">
        <v>3.91</v>
      </c>
      <c r="S703" s="74">
        <v>8.9600000000000009</v>
      </c>
      <c r="T703" s="75">
        <v>5.81</v>
      </c>
      <c r="U703" s="75">
        <v>5.71</v>
      </c>
      <c r="V703" s="76"/>
      <c r="W703" s="76">
        <v>0.90625</v>
      </c>
      <c r="X703" s="77">
        <v>2543</v>
      </c>
      <c r="Y703" s="78">
        <f>3/32</f>
        <v>9.375E-2</v>
      </c>
      <c r="Z703" s="79"/>
      <c r="AA703" s="69"/>
      <c r="AB703" s="68"/>
      <c r="AC703" s="68"/>
      <c r="AD703" s="68"/>
      <c r="AE703" s="80"/>
      <c r="AF703" s="80"/>
      <c r="AG703" s="80"/>
      <c r="AH703" s="80"/>
      <c r="AI703" s="81" t="s">
        <v>330</v>
      </c>
      <c r="AJ703" s="81" t="s">
        <v>150</v>
      </c>
      <c r="AK703" s="81">
        <v>1984</v>
      </c>
      <c r="AL703" s="81" t="s">
        <v>151</v>
      </c>
      <c r="AM703" s="81" t="s">
        <v>329</v>
      </c>
    </row>
    <row r="704" spans="1:39" s="82" customFormat="1" x14ac:dyDescent="0.3">
      <c r="A704" s="67">
        <v>17</v>
      </c>
      <c r="B704" s="68"/>
      <c r="C704" s="68"/>
      <c r="D704" s="68">
        <v>0</v>
      </c>
      <c r="E704" s="68"/>
      <c r="F704" s="68">
        <v>2</v>
      </c>
      <c r="G704" s="69">
        <v>5.5</v>
      </c>
      <c r="H704" s="68"/>
      <c r="I704" s="69"/>
      <c r="J704" s="69"/>
      <c r="K704" s="70">
        <v>3</v>
      </c>
      <c r="L704" s="68">
        <v>150</v>
      </c>
      <c r="M704" s="71"/>
      <c r="N704" s="72"/>
      <c r="O704" s="84"/>
      <c r="P704" s="73"/>
      <c r="Q704" s="84">
        <v>0</v>
      </c>
      <c r="R704" s="74"/>
      <c r="S704" s="74"/>
      <c r="T704" s="75">
        <v>3.77</v>
      </c>
      <c r="U704" s="75">
        <v>2</v>
      </c>
      <c r="V704" s="76"/>
      <c r="W704" s="76"/>
      <c r="X704" s="77">
        <v>515</v>
      </c>
      <c r="Y704" s="78"/>
      <c r="Z704" s="79"/>
      <c r="AA704" s="69"/>
      <c r="AB704" s="68"/>
      <c r="AC704" s="68"/>
      <c r="AD704" s="68"/>
      <c r="AE704" s="80"/>
      <c r="AF704" s="80"/>
      <c r="AG704" s="80"/>
      <c r="AH704" s="80"/>
      <c r="AI704" s="81" t="s">
        <v>325</v>
      </c>
      <c r="AJ704" s="81" t="s">
        <v>150</v>
      </c>
      <c r="AK704" s="81">
        <v>1984</v>
      </c>
      <c r="AL704" s="81" t="s">
        <v>151</v>
      </c>
      <c r="AM704" s="81" t="s">
        <v>326</v>
      </c>
    </row>
    <row r="705" spans="1:39" s="82" customFormat="1" x14ac:dyDescent="0.3">
      <c r="A705" s="67">
        <v>17</v>
      </c>
      <c r="B705" s="68"/>
      <c r="C705" s="68"/>
      <c r="D705" s="68">
        <v>0</v>
      </c>
      <c r="E705" s="68"/>
      <c r="F705" s="68">
        <v>2</v>
      </c>
      <c r="G705" s="69">
        <v>5.5</v>
      </c>
      <c r="H705" s="68"/>
      <c r="I705" s="69"/>
      <c r="J705" s="69"/>
      <c r="K705" s="70">
        <v>3</v>
      </c>
      <c r="L705" s="68">
        <v>1975</v>
      </c>
      <c r="M705" s="71"/>
      <c r="N705" s="72">
        <v>5.5</v>
      </c>
      <c r="O705" s="84">
        <v>1975</v>
      </c>
      <c r="P705" s="73"/>
      <c r="Q705" s="84">
        <v>0</v>
      </c>
      <c r="R705" s="74">
        <v>1.54</v>
      </c>
      <c r="S705" s="74">
        <v>1.63</v>
      </c>
      <c r="T705" s="75">
        <v>5.15</v>
      </c>
      <c r="U705" s="75">
        <v>3.82</v>
      </c>
      <c r="V705" s="76"/>
      <c r="W705" s="76"/>
      <c r="X705" s="77">
        <v>2340</v>
      </c>
      <c r="Y705" s="78"/>
      <c r="Z705" s="79"/>
      <c r="AA705" s="69"/>
      <c r="AB705" s="68"/>
      <c r="AC705" s="68"/>
      <c r="AD705" s="68"/>
      <c r="AE705" s="80"/>
      <c r="AF705" s="80"/>
      <c r="AG705" s="80"/>
      <c r="AH705" s="80"/>
      <c r="AI705" s="81" t="s">
        <v>325</v>
      </c>
      <c r="AJ705" s="81" t="s">
        <v>150</v>
      </c>
      <c r="AK705" s="81">
        <v>1984</v>
      </c>
      <c r="AL705" s="81" t="s">
        <v>151</v>
      </c>
      <c r="AM705" s="81" t="s">
        <v>326</v>
      </c>
    </row>
    <row r="706" spans="1:39" s="82" customFormat="1" x14ac:dyDescent="0.3">
      <c r="A706" s="67">
        <v>17</v>
      </c>
      <c r="B706" s="68"/>
      <c r="C706" s="68"/>
      <c r="D706" s="68">
        <v>0</v>
      </c>
      <c r="E706" s="68"/>
      <c r="F706" s="68">
        <v>3</v>
      </c>
      <c r="G706" s="69">
        <v>5.5</v>
      </c>
      <c r="H706" s="68"/>
      <c r="I706" s="69"/>
      <c r="J706" s="69"/>
      <c r="K706" s="70">
        <v>3</v>
      </c>
      <c r="L706" s="68">
        <v>3070</v>
      </c>
      <c r="M706" s="71"/>
      <c r="N706" s="72"/>
      <c r="O706" s="84">
        <v>3070</v>
      </c>
      <c r="P706" s="73"/>
      <c r="Q706" s="84">
        <v>0</v>
      </c>
      <c r="R706" s="74">
        <v>3.85</v>
      </c>
      <c r="S706" s="74">
        <v>2.44</v>
      </c>
      <c r="T706" s="75">
        <v>2.54</v>
      </c>
      <c r="U706" s="75">
        <v>2.71</v>
      </c>
      <c r="V706" s="76"/>
      <c r="W706" s="76"/>
      <c r="X706" s="77">
        <v>3800</v>
      </c>
      <c r="Y706" s="78"/>
      <c r="Z706" s="79"/>
      <c r="AA706" s="69"/>
      <c r="AB706" s="68"/>
      <c r="AC706" s="68"/>
      <c r="AD706" s="68"/>
      <c r="AE706" s="80"/>
      <c r="AF706" s="80"/>
      <c r="AG706" s="80"/>
      <c r="AH706" s="80"/>
      <c r="AI706" s="81" t="s">
        <v>325</v>
      </c>
      <c r="AJ706" s="81" t="s">
        <v>150</v>
      </c>
      <c r="AK706" s="81">
        <v>1984</v>
      </c>
      <c r="AL706" s="81" t="s">
        <v>151</v>
      </c>
      <c r="AM706" s="81" t="s">
        <v>326</v>
      </c>
    </row>
    <row r="707" spans="1:39" s="82" customFormat="1" x14ac:dyDescent="0.3">
      <c r="A707" s="67">
        <v>27</v>
      </c>
      <c r="B707" s="68"/>
      <c r="C707" s="68"/>
      <c r="D707" s="68">
        <v>0</v>
      </c>
      <c r="E707" s="68"/>
      <c r="F707" s="68">
        <v>2</v>
      </c>
      <c r="G707" s="69">
        <v>5.5</v>
      </c>
      <c r="H707" s="68"/>
      <c r="I707" s="69"/>
      <c r="J707" s="69"/>
      <c r="K707" s="70">
        <v>3</v>
      </c>
      <c r="L707" s="68">
        <v>515</v>
      </c>
      <c r="M707" s="71"/>
      <c r="N707" s="72"/>
      <c r="O707" s="84">
        <v>515</v>
      </c>
      <c r="P707" s="73"/>
      <c r="Q707" s="84">
        <v>0</v>
      </c>
      <c r="R707" s="74">
        <v>5.32</v>
      </c>
      <c r="S707" s="74">
        <v>3.49</v>
      </c>
      <c r="T707" s="75">
        <v>4</v>
      </c>
      <c r="U707" s="75">
        <v>5.64</v>
      </c>
      <c r="V707" s="76"/>
      <c r="W707" s="76"/>
      <c r="X707" s="77">
        <v>880</v>
      </c>
      <c r="Y707" s="78"/>
      <c r="Z707" s="79"/>
      <c r="AA707" s="69"/>
      <c r="AB707" s="68"/>
      <c r="AC707" s="68"/>
      <c r="AD707" s="68"/>
      <c r="AE707" s="80"/>
      <c r="AF707" s="80"/>
      <c r="AG707" s="80"/>
      <c r="AH707" s="80"/>
      <c r="AI707" s="81" t="s">
        <v>324</v>
      </c>
      <c r="AJ707" s="81" t="s">
        <v>150</v>
      </c>
      <c r="AK707" s="81">
        <v>1984</v>
      </c>
      <c r="AL707" s="81" t="s">
        <v>151</v>
      </c>
      <c r="AM707" s="81" t="s">
        <v>328</v>
      </c>
    </row>
    <row r="708" spans="1:39" s="82" customFormat="1" x14ac:dyDescent="0.3">
      <c r="A708" s="67">
        <v>27</v>
      </c>
      <c r="B708" s="68"/>
      <c r="C708" s="68"/>
      <c r="D708" s="68">
        <v>0</v>
      </c>
      <c r="E708" s="68"/>
      <c r="F708" s="68">
        <v>2</v>
      </c>
      <c r="G708" s="69">
        <v>5.5</v>
      </c>
      <c r="H708" s="68"/>
      <c r="I708" s="69"/>
      <c r="J708" s="69"/>
      <c r="K708" s="70">
        <v>3</v>
      </c>
      <c r="L708" s="68">
        <v>1245</v>
      </c>
      <c r="M708" s="71"/>
      <c r="N708" s="72"/>
      <c r="O708" s="84">
        <v>1245</v>
      </c>
      <c r="P708" s="73"/>
      <c r="Q708" s="84">
        <v>0</v>
      </c>
      <c r="R708" s="74">
        <v>4.21</v>
      </c>
      <c r="S708" s="74">
        <v>4.95</v>
      </c>
      <c r="T708" s="75">
        <v>3.07</v>
      </c>
      <c r="U708" s="75">
        <v>3.57</v>
      </c>
      <c r="V708" s="76"/>
      <c r="W708" s="76"/>
      <c r="X708" s="77">
        <v>1610</v>
      </c>
      <c r="Y708" s="78"/>
      <c r="Z708" s="79"/>
      <c r="AA708" s="69"/>
      <c r="AB708" s="68"/>
      <c r="AC708" s="68"/>
      <c r="AD708" s="68"/>
      <c r="AE708" s="80"/>
      <c r="AF708" s="80"/>
      <c r="AG708" s="80"/>
      <c r="AH708" s="80"/>
      <c r="AI708" s="81" t="s">
        <v>324</v>
      </c>
      <c r="AJ708" s="81" t="s">
        <v>150</v>
      </c>
      <c r="AK708" s="81">
        <v>1984</v>
      </c>
      <c r="AL708" s="81" t="s">
        <v>151</v>
      </c>
      <c r="AM708" s="81" t="s">
        <v>328</v>
      </c>
    </row>
    <row r="709" spans="1:39" s="82" customFormat="1" x14ac:dyDescent="0.3">
      <c r="A709" s="67">
        <v>27</v>
      </c>
      <c r="B709" s="68"/>
      <c r="C709" s="68"/>
      <c r="D709" s="68">
        <v>0</v>
      </c>
      <c r="E709" s="68"/>
      <c r="F709" s="68">
        <v>2</v>
      </c>
      <c r="G709" s="69">
        <v>5.5</v>
      </c>
      <c r="H709" s="68"/>
      <c r="I709" s="69"/>
      <c r="J709" s="69"/>
      <c r="K709" s="70">
        <v>3</v>
      </c>
      <c r="L709" s="68">
        <v>1975</v>
      </c>
      <c r="M709" s="71"/>
      <c r="N709" s="72"/>
      <c r="O709" s="84">
        <v>1975</v>
      </c>
      <c r="P709" s="73"/>
      <c r="Q709" s="84">
        <v>0</v>
      </c>
      <c r="R709" s="74">
        <v>4.3</v>
      </c>
      <c r="S709" s="74">
        <v>3.17</v>
      </c>
      <c r="T709" s="75">
        <v>3.33</v>
      </c>
      <c r="U709" s="75">
        <v>3.93</v>
      </c>
      <c r="V709" s="76"/>
      <c r="W709" s="76"/>
      <c r="X709" s="77">
        <v>2340</v>
      </c>
      <c r="Y709" s="78"/>
      <c r="Z709" s="79"/>
      <c r="AA709" s="69"/>
      <c r="AB709" s="68"/>
      <c r="AC709" s="68"/>
      <c r="AD709" s="68"/>
      <c r="AE709" s="80"/>
      <c r="AF709" s="80"/>
      <c r="AG709" s="80"/>
      <c r="AH709" s="80"/>
      <c r="AI709" s="81" t="s">
        <v>324</v>
      </c>
      <c r="AJ709" s="81" t="s">
        <v>150</v>
      </c>
      <c r="AK709" s="81">
        <v>1984</v>
      </c>
      <c r="AL709" s="81" t="s">
        <v>151</v>
      </c>
      <c r="AM709" s="81" t="s">
        <v>328</v>
      </c>
    </row>
    <row r="710" spans="1:39" s="82" customFormat="1" x14ac:dyDescent="0.3">
      <c r="A710" s="67">
        <v>27</v>
      </c>
      <c r="B710" s="68"/>
      <c r="C710" s="68"/>
      <c r="D710" s="68">
        <v>0</v>
      </c>
      <c r="E710" s="68"/>
      <c r="F710" s="68">
        <v>2</v>
      </c>
      <c r="G710" s="69">
        <v>5.5</v>
      </c>
      <c r="H710" s="68"/>
      <c r="I710" s="69"/>
      <c r="J710" s="69"/>
      <c r="K710" s="70">
        <v>3</v>
      </c>
      <c r="L710" s="68">
        <v>3070</v>
      </c>
      <c r="M710" s="71"/>
      <c r="N710" s="72"/>
      <c r="O710" s="84">
        <v>3070</v>
      </c>
      <c r="P710" s="73"/>
      <c r="Q710" s="84">
        <v>0</v>
      </c>
      <c r="R710" s="74">
        <v>3.7</v>
      </c>
      <c r="S710" s="74">
        <v>4.3600000000000003</v>
      </c>
      <c r="T710" s="75">
        <v>2.85</v>
      </c>
      <c r="U710" s="75">
        <v>3.24</v>
      </c>
      <c r="V710" s="76"/>
      <c r="W710" s="76"/>
      <c r="X710" s="77">
        <v>3800</v>
      </c>
      <c r="Y710" s="78"/>
      <c r="Z710" s="79"/>
      <c r="AA710" s="69"/>
      <c r="AB710" s="68"/>
      <c r="AC710" s="68"/>
      <c r="AD710" s="68"/>
      <c r="AE710" s="80"/>
      <c r="AF710" s="80"/>
      <c r="AG710" s="80"/>
      <c r="AH710" s="80"/>
      <c r="AI710" s="81" t="s">
        <v>324</v>
      </c>
      <c r="AJ710" s="81" t="s">
        <v>150</v>
      </c>
      <c r="AK710" s="81">
        <v>1984</v>
      </c>
      <c r="AL710" s="81" t="s">
        <v>151</v>
      </c>
      <c r="AM710" s="81" t="s">
        <v>328</v>
      </c>
    </row>
    <row r="711" spans="1:39" s="82" customFormat="1" x14ac:dyDescent="0.3">
      <c r="A711" s="67">
        <v>6</v>
      </c>
      <c r="B711" s="68">
        <v>6</v>
      </c>
      <c r="C711" s="68"/>
      <c r="D711" s="68">
        <v>0</v>
      </c>
      <c r="E711" s="68"/>
      <c r="F711" s="68">
        <v>0</v>
      </c>
      <c r="G711" s="69"/>
      <c r="H711" s="68"/>
      <c r="I711" s="69"/>
      <c r="J711" s="69"/>
      <c r="K711" s="70">
        <v>1</v>
      </c>
      <c r="L711" s="68">
        <v>60</v>
      </c>
      <c r="M711" s="71"/>
      <c r="N711" s="72">
        <v>6</v>
      </c>
      <c r="O711" s="84"/>
      <c r="P711" s="73"/>
      <c r="Q711" s="84"/>
      <c r="R711" s="74"/>
      <c r="S711" s="74"/>
      <c r="T711" s="75"/>
      <c r="U711" s="75"/>
      <c r="V711" s="76"/>
      <c r="W711" s="76"/>
      <c r="X711" s="77"/>
      <c r="Y711" s="78">
        <v>0.5</v>
      </c>
      <c r="Z711" s="79"/>
      <c r="AA711" s="69"/>
      <c r="AB711" s="68"/>
      <c r="AC711" s="68"/>
      <c r="AD711" s="68"/>
      <c r="AE711" s="80">
        <v>0.33</v>
      </c>
      <c r="AF711" s="80"/>
      <c r="AG711" s="80"/>
      <c r="AH711" s="80"/>
      <c r="AI711" s="81" t="s">
        <v>145</v>
      </c>
      <c r="AJ711" s="81" t="s">
        <v>56</v>
      </c>
      <c r="AK711" s="81">
        <v>1991</v>
      </c>
      <c r="AL711" s="81" t="s">
        <v>57</v>
      </c>
      <c r="AM711" s="81"/>
    </row>
    <row r="712" spans="1:39" s="82" customFormat="1" x14ac:dyDescent="0.3">
      <c r="A712" s="67">
        <v>7</v>
      </c>
      <c r="B712" s="68">
        <v>7</v>
      </c>
      <c r="C712" s="68"/>
      <c r="D712" s="68">
        <v>0</v>
      </c>
      <c r="E712" s="68"/>
      <c r="F712" s="68">
        <v>1</v>
      </c>
      <c r="G712" s="69">
        <v>6</v>
      </c>
      <c r="H712" s="68"/>
      <c r="I712" s="69"/>
      <c r="J712" s="69"/>
      <c r="K712" s="70">
        <v>1</v>
      </c>
      <c r="L712" s="68">
        <v>120</v>
      </c>
      <c r="M712" s="71"/>
      <c r="N712" s="72">
        <v>6</v>
      </c>
      <c r="O712" s="84"/>
      <c r="P712" s="73"/>
      <c r="Q712" s="84"/>
      <c r="R712" s="74"/>
      <c r="S712" s="74"/>
      <c r="T712" s="75"/>
      <c r="U712" s="75"/>
      <c r="V712" s="76"/>
      <c r="W712" s="76"/>
      <c r="X712" s="77"/>
      <c r="Y712" s="78">
        <v>0.43</v>
      </c>
      <c r="Z712" s="79"/>
      <c r="AA712" s="69"/>
      <c r="AB712" s="68"/>
      <c r="AC712" s="68"/>
      <c r="AD712" s="68"/>
      <c r="AE712" s="80">
        <v>1</v>
      </c>
      <c r="AF712" s="80"/>
      <c r="AG712" s="80"/>
      <c r="AH712" s="80"/>
      <c r="AI712" s="81" t="s">
        <v>147</v>
      </c>
      <c r="AJ712" s="81" t="s">
        <v>56</v>
      </c>
      <c r="AK712" s="81">
        <v>1991</v>
      </c>
      <c r="AL712" s="81" t="s">
        <v>57</v>
      </c>
      <c r="AM712" s="81"/>
    </row>
    <row r="713" spans="1:39" s="82" customFormat="1" x14ac:dyDescent="0.3">
      <c r="A713" s="67">
        <v>5</v>
      </c>
      <c r="B713" s="68">
        <v>5</v>
      </c>
      <c r="C713" s="68"/>
      <c r="D713" s="68">
        <v>0</v>
      </c>
      <c r="E713" s="68"/>
      <c r="F713" s="68">
        <v>2</v>
      </c>
      <c r="G713" s="69">
        <v>6</v>
      </c>
      <c r="H713" s="68"/>
      <c r="I713" s="69"/>
      <c r="J713" s="69"/>
      <c r="K713" s="70">
        <v>1</v>
      </c>
      <c r="L713" s="68">
        <v>360</v>
      </c>
      <c r="M713" s="71"/>
      <c r="N713" s="72">
        <v>6</v>
      </c>
      <c r="O713" s="84"/>
      <c r="P713" s="73"/>
      <c r="Q713" s="84"/>
      <c r="R713" s="74"/>
      <c r="S713" s="74"/>
      <c r="T713" s="75"/>
      <c r="U713" s="75"/>
      <c r="V713" s="76"/>
      <c r="W713" s="76"/>
      <c r="X713" s="77"/>
      <c r="Y713" s="78">
        <v>0.2</v>
      </c>
      <c r="Z713" s="79"/>
      <c r="AA713" s="69"/>
      <c r="AB713" s="68"/>
      <c r="AC713" s="68"/>
      <c r="AD713" s="68"/>
      <c r="AE713" s="80">
        <v>0</v>
      </c>
      <c r="AF713" s="80"/>
      <c r="AG713" s="80"/>
      <c r="AH713" s="80"/>
      <c r="AI713" s="81" t="s">
        <v>148</v>
      </c>
      <c r="AJ713" s="81" t="s">
        <v>56</v>
      </c>
      <c r="AK713" s="81">
        <v>1991</v>
      </c>
      <c r="AL713" s="81" t="s">
        <v>57</v>
      </c>
      <c r="AM713" s="81"/>
    </row>
    <row r="714" spans="1:39" s="82" customFormat="1" x14ac:dyDescent="0.3">
      <c r="A714" s="67">
        <v>3</v>
      </c>
      <c r="B714" s="68">
        <v>3</v>
      </c>
      <c r="C714" s="68"/>
      <c r="D714" s="68">
        <v>0</v>
      </c>
      <c r="E714" s="68"/>
      <c r="F714" s="68">
        <v>1</v>
      </c>
      <c r="G714" s="69">
        <v>6</v>
      </c>
      <c r="H714" s="68"/>
      <c r="I714" s="69"/>
      <c r="J714" s="69"/>
      <c r="K714" s="70">
        <v>1</v>
      </c>
      <c r="L714" s="68">
        <v>120</v>
      </c>
      <c r="M714" s="71"/>
      <c r="N714" s="72">
        <v>6</v>
      </c>
      <c r="O714" s="84"/>
      <c r="P714" s="73"/>
      <c r="Q714" s="84"/>
      <c r="R714" s="74"/>
      <c r="S714" s="74"/>
      <c r="T714" s="75"/>
      <c r="U714" s="75"/>
      <c r="V714" s="76"/>
      <c r="W714" s="76"/>
      <c r="X714" s="77"/>
      <c r="Y714" s="78">
        <v>0.67</v>
      </c>
      <c r="Z714" s="79"/>
      <c r="AA714" s="69"/>
      <c r="AB714" s="68"/>
      <c r="AC714" s="68"/>
      <c r="AD714" s="68"/>
      <c r="AE714" s="80">
        <v>0.5</v>
      </c>
      <c r="AF714" s="80"/>
      <c r="AG714" s="80"/>
      <c r="AH714" s="80"/>
      <c r="AI714" s="81" t="s">
        <v>146</v>
      </c>
      <c r="AJ714" s="81" t="s">
        <v>56</v>
      </c>
      <c r="AK714" s="81">
        <v>1991</v>
      </c>
      <c r="AL714" s="81" t="s">
        <v>57</v>
      </c>
      <c r="AM714" s="81"/>
    </row>
    <row r="715" spans="1:39" s="82" customFormat="1" x14ac:dyDescent="0.3">
      <c r="A715" s="67">
        <v>5</v>
      </c>
      <c r="B715" s="68">
        <v>5</v>
      </c>
      <c r="C715" s="68"/>
      <c r="D715" s="68">
        <v>2</v>
      </c>
      <c r="E715" s="68">
        <v>40</v>
      </c>
      <c r="F715" s="68">
        <v>0</v>
      </c>
      <c r="G715" s="69"/>
      <c r="H715" s="68"/>
      <c r="I715" s="69"/>
      <c r="J715" s="69"/>
      <c r="K715" s="70">
        <v>1</v>
      </c>
      <c r="L715" s="68">
        <v>360</v>
      </c>
      <c r="M715" s="71"/>
      <c r="N715" s="72">
        <v>6</v>
      </c>
      <c r="O715" s="84"/>
      <c r="P715" s="73"/>
      <c r="Q715" s="84"/>
      <c r="R715" s="74"/>
      <c r="S715" s="74"/>
      <c r="T715" s="75"/>
      <c r="U715" s="75"/>
      <c r="V715" s="76"/>
      <c r="W715" s="76"/>
      <c r="X715" s="77"/>
      <c r="Y715" s="78">
        <v>0.2</v>
      </c>
      <c r="Z715" s="79"/>
      <c r="AA715" s="69"/>
      <c r="AB715" s="68"/>
      <c r="AC715" s="68"/>
      <c r="AD715" s="68"/>
      <c r="AE715" s="80">
        <v>0</v>
      </c>
      <c r="AF715" s="80"/>
      <c r="AG715" s="80"/>
      <c r="AH715" s="80"/>
      <c r="AI715" s="81" t="s">
        <v>55</v>
      </c>
      <c r="AJ715" s="81" t="s">
        <v>56</v>
      </c>
      <c r="AK715" s="81">
        <v>1991</v>
      </c>
      <c r="AL715" s="81" t="s">
        <v>57</v>
      </c>
      <c r="AM715" s="81"/>
    </row>
    <row r="716" spans="1:39" s="82" customFormat="1" x14ac:dyDescent="0.3">
      <c r="A716" s="67">
        <v>7</v>
      </c>
      <c r="B716" s="68">
        <v>7</v>
      </c>
      <c r="C716" s="68"/>
      <c r="D716" s="68">
        <v>1</v>
      </c>
      <c r="E716" s="68">
        <v>40</v>
      </c>
      <c r="F716" s="68">
        <v>0</v>
      </c>
      <c r="G716" s="69"/>
      <c r="H716" s="68"/>
      <c r="I716" s="69"/>
      <c r="J716" s="69"/>
      <c r="K716" s="70">
        <v>1</v>
      </c>
      <c r="L716" s="68">
        <v>120</v>
      </c>
      <c r="M716" s="71"/>
      <c r="N716" s="72">
        <v>6</v>
      </c>
      <c r="O716" s="84"/>
      <c r="P716" s="73"/>
      <c r="Q716" s="84"/>
      <c r="R716" s="74"/>
      <c r="S716" s="74"/>
      <c r="T716" s="75"/>
      <c r="U716" s="75"/>
      <c r="V716" s="76"/>
      <c r="W716" s="76"/>
      <c r="X716" s="77"/>
      <c r="Y716" s="78">
        <f>3/7</f>
        <v>0.42857142857142855</v>
      </c>
      <c r="Z716" s="79"/>
      <c r="AA716" s="69"/>
      <c r="AB716" s="68"/>
      <c r="AC716" s="68"/>
      <c r="AD716" s="68"/>
      <c r="AE716" s="80">
        <v>1</v>
      </c>
      <c r="AF716" s="80"/>
      <c r="AG716" s="80"/>
      <c r="AH716" s="80"/>
      <c r="AI716" s="81" t="s">
        <v>54</v>
      </c>
      <c r="AJ716" s="81" t="s">
        <v>56</v>
      </c>
      <c r="AK716" s="81">
        <v>1991</v>
      </c>
      <c r="AL716" s="81" t="s">
        <v>57</v>
      </c>
      <c r="AM716" s="81"/>
    </row>
    <row r="717" spans="1:39" s="82" customFormat="1" x14ac:dyDescent="0.3">
      <c r="A717" s="67">
        <v>6</v>
      </c>
      <c r="B717" s="68">
        <v>6</v>
      </c>
      <c r="C717" s="68"/>
      <c r="D717" s="68">
        <v>0</v>
      </c>
      <c r="E717" s="68"/>
      <c r="F717" s="68">
        <v>0</v>
      </c>
      <c r="G717" s="69"/>
      <c r="H717" s="68"/>
      <c r="I717" s="69"/>
      <c r="J717" s="69"/>
      <c r="K717" s="70">
        <v>2</v>
      </c>
      <c r="L717" s="68">
        <v>60</v>
      </c>
      <c r="M717" s="71"/>
      <c r="N717" s="72">
        <v>5</v>
      </c>
      <c r="O717" s="84"/>
      <c r="P717" s="73"/>
      <c r="Q717" s="84"/>
      <c r="R717" s="74"/>
      <c r="S717" s="74"/>
      <c r="T717" s="75"/>
      <c r="U717" s="75"/>
      <c r="V717" s="76"/>
      <c r="W717" s="76"/>
      <c r="X717" s="77"/>
      <c r="Y717" s="78">
        <v>0.17</v>
      </c>
      <c r="Z717" s="79"/>
      <c r="AA717" s="69"/>
      <c r="AB717" s="68"/>
      <c r="AC717" s="68"/>
      <c r="AD717" s="68"/>
      <c r="AE717" s="80">
        <v>1</v>
      </c>
      <c r="AF717" s="80"/>
      <c r="AG717" s="80"/>
      <c r="AH717" s="80"/>
      <c r="AI717" s="81" t="s">
        <v>145</v>
      </c>
      <c r="AJ717" s="81" t="s">
        <v>56</v>
      </c>
      <c r="AK717" s="81">
        <v>1991</v>
      </c>
      <c r="AL717" s="81" t="s">
        <v>57</v>
      </c>
      <c r="AM717" s="81"/>
    </row>
    <row r="718" spans="1:39" s="82" customFormat="1" x14ac:dyDescent="0.3">
      <c r="A718" s="67">
        <v>7</v>
      </c>
      <c r="B718" s="68">
        <v>7</v>
      </c>
      <c r="C718" s="68"/>
      <c r="D718" s="68">
        <v>0</v>
      </c>
      <c r="E718" s="68"/>
      <c r="F718" s="68">
        <v>1</v>
      </c>
      <c r="G718" s="69">
        <v>5</v>
      </c>
      <c r="H718" s="68"/>
      <c r="I718" s="69"/>
      <c r="J718" s="69"/>
      <c r="K718" s="70">
        <v>2</v>
      </c>
      <c r="L718" s="68">
        <v>120</v>
      </c>
      <c r="M718" s="71"/>
      <c r="N718" s="72">
        <v>5</v>
      </c>
      <c r="O718" s="84"/>
      <c r="P718" s="73"/>
      <c r="Q718" s="84"/>
      <c r="R718" s="74"/>
      <c r="S718" s="74"/>
      <c r="T718" s="75"/>
      <c r="U718" s="75"/>
      <c r="V718" s="76"/>
      <c r="W718" s="76"/>
      <c r="X718" s="77"/>
      <c r="Y718" s="78">
        <v>0.43</v>
      </c>
      <c r="Z718" s="79"/>
      <c r="AA718" s="69"/>
      <c r="AB718" s="68"/>
      <c r="AC718" s="68"/>
      <c r="AD718" s="68"/>
      <c r="AE718" s="80">
        <v>1</v>
      </c>
      <c r="AF718" s="80"/>
      <c r="AG718" s="80"/>
      <c r="AH718" s="80"/>
      <c r="AI718" s="81" t="s">
        <v>147</v>
      </c>
      <c r="AJ718" s="81" t="s">
        <v>56</v>
      </c>
      <c r="AK718" s="81">
        <v>1991</v>
      </c>
      <c r="AL718" s="81" t="s">
        <v>57</v>
      </c>
      <c r="AM718" s="81"/>
    </row>
    <row r="719" spans="1:39" s="82" customFormat="1" x14ac:dyDescent="0.3">
      <c r="A719" s="67">
        <v>5</v>
      </c>
      <c r="B719" s="68">
        <v>5</v>
      </c>
      <c r="C719" s="68"/>
      <c r="D719" s="68">
        <v>0</v>
      </c>
      <c r="E719" s="68"/>
      <c r="F719" s="68">
        <v>2</v>
      </c>
      <c r="G719" s="69">
        <v>5</v>
      </c>
      <c r="H719" s="68"/>
      <c r="I719" s="69"/>
      <c r="J719" s="69"/>
      <c r="K719" s="70">
        <v>2</v>
      </c>
      <c r="L719" s="68">
        <v>360</v>
      </c>
      <c r="M719" s="71"/>
      <c r="N719" s="72">
        <v>5</v>
      </c>
      <c r="O719" s="84"/>
      <c r="P719" s="73"/>
      <c r="Q719" s="84"/>
      <c r="R719" s="74"/>
      <c r="S719" s="74"/>
      <c r="T719" s="75"/>
      <c r="U719" s="75"/>
      <c r="V719" s="76"/>
      <c r="W719" s="76"/>
      <c r="X719" s="77"/>
      <c r="Y719" s="78">
        <v>0.2</v>
      </c>
      <c r="Z719" s="79"/>
      <c r="AA719" s="69"/>
      <c r="AB719" s="68"/>
      <c r="AC719" s="68"/>
      <c r="AD719" s="68"/>
      <c r="AE719" s="80">
        <v>1</v>
      </c>
      <c r="AF719" s="80"/>
      <c r="AG719" s="80"/>
      <c r="AH719" s="80"/>
      <c r="AI719" s="81" t="s">
        <v>148</v>
      </c>
      <c r="AJ719" s="81" t="s">
        <v>56</v>
      </c>
      <c r="AK719" s="81">
        <v>1991</v>
      </c>
      <c r="AL719" s="81" t="s">
        <v>57</v>
      </c>
      <c r="AM719" s="81"/>
    </row>
    <row r="720" spans="1:39" s="82" customFormat="1" x14ac:dyDescent="0.3">
      <c r="A720" s="67">
        <v>3</v>
      </c>
      <c r="B720" s="68">
        <v>3</v>
      </c>
      <c r="C720" s="68"/>
      <c r="D720" s="68">
        <v>0</v>
      </c>
      <c r="E720" s="68"/>
      <c r="F720" s="68">
        <v>1</v>
      </c>
      <c r="G720" s="69">
        <v>5</v>
      </c>
      <c r="H720" s="68"/>
      <c r="I720" s="69"/>
      <c r="J720" s="69"/>
      <c r="K720" s="70">
        <v>2</v>
      </c>
      <c r="L720" s="68">
        <v>120</v>
      </c>
      <c r="M720" s="71"/>
      <c r="N720" s="72">
        <v>5</v>
      </c>
      <c r="O720" s="84"/>
      <c r="P720" s="73"/>
      <c r="Q720" s="84"/>
      <c r="R720" s="74"/>
      <c r="S720" s="74"/>
      <c r="T720" s="75"/>
      <c r="U720" s="75"/>
      <c r="V720" s="76"/>
      <c r="W720" s="76"/>
      <c r="X720" s="77"/>
      <c r="Y720" s="78">
        <v>0.33</v>
      </c>
      <c r="Z720" s="79"/>
      <c r="AA720" s="69"/>
      <c r="AB720" s="68"/>
      <c r="AC720" s="68"/>
      <c r="AD720" s="68"/>
      <c r="AE720" s="80">
        <v>1</v>
      </c>
      <c r="AF720" s="80"/>
      <c r="AG720" s="80"/>
      <c r="AH720" s="80"/>
      <c r="AI720" s="81" t="s">
        <v>146</v>
      </c>
      <c r="AJ720" s="81" t="s">
        <v>56</v>
      </c>
      <c r="AK720" s="81">
        <v>1991</v>
      </c>
      <c r="AL720" s="81" t="s">
        <v>57</v>
      </c>
      <c r="AM720" s="81"/>
    </row>
    <row r="721" spans="1:39" s="82" customFormat="1" x14ac:dyDescent="0.3">
      <c r="A721" s="67">
        <v>5</v>
      </c>
      <c r="B721" s="68">
        <v>5</v>
      </c>
      <c r="C721" s="68"/>
      <c r="D721" s="68">
        <v>2</v>
      </c>
      <c r="E721" s="68">
        <v>8</v>
      </c>
      <c r="F721" s="68">
        <v>0</v>
      </c>
      <c r="G721" s="69"/>
      <c r="H721" s="68"/>
      <c r="I721" s="69"/>
      <c r="J721" s="69"/>
      <c r="K721" s="70">
        <v>2</v>
      </c>
      <c r="L721" s="68">
        <v>360</v>
      </c>
      <c r="M721" s="71"/>
      <c r="N721" s="72">
        <v>5</v>
      </c>
      <c r="O721" s="84"/>
      <c r="P721" s="73"/>
      <c r="Q721" s="84"/>
      <c r="R721" s="74"/>
      <c r="S721" s="74"/>
      <c r="T721" s="75"/>
      <c r="U721" s="75"/>
      <c r="V721" s="76"/>
      <c r="W721" s="76"/>
      <c r="X721" s="77"/>
      <c r="Y721" s="78">
        <v>0.2</v>
      </c>
      <c r="Z721" s="79"/>
      <c r="AA721" s="69"/>
      <c r="AB721" s="68"/>
      <c r="AC721" s="68"/>
      <c r="AD721" s="68"/>
      <c r="AE721" s="80">
        <v>1</v>
      </c>
      <c r="AF721" s="80"/>
      <c r="AG721" s="80"/>
      <c r="AH721" s="80"/>
      <c r="AI721" s="81" t="s">
        <v>55</v>
      </c>
      <c r="AJ721" s="81" t="s">
        <v>56</v>
      </c>
      <c r="AK721" s="81">
        <v>1991</v>
      </c>
      <c r="AL721" s="81" t="s">
        <v>57</v>
      </c>
      <c r="AM721" s="81"/>
    </row>
    <row r="722" spans="1:39" s="82" customFormat="1" x14ac:dyDescent="0.3">
      <c r="A722" s="67">
        <v>7</v>
      </c>
      <c r="B722" s="68">
        <v>7</v>
      </c>
      <c r="C722" s="68"/>
      <c r="D722" s="68">
        <v>1</v>
      </c>
      <c r="E722" s="68">
        <v>8</v>
      </c>
      <c r="F722" s="68">
        <v>0</v>
      </c>
      <c r="G722" s="69"/>
      <c r="H722" s="68"/>
      <c r="I722" s="69"/>
      <c r="J722" s="69"/>
      <c r="K722" s="70">
        <v>2</v>
      </c>
      <c r="L722" s="68">
        <v>120</v>
      </c>
      <c r="M722" s="71"/>
      <c r="N722" s="72">
        <v>5</v>
      </c>
      <c r="O722" s="84"/>
      <c r="P722" s="73"/>
      <c r="Q722" s="84"/>
      <c r="R722" s="74"/>
      <c r="S722" s="74"/>
      <c r="T722" s="75"/>
      <c r="U722" s="75"/>
      <c r="V722" s="76"/>
      <c r="W722" s="76"/>
      <c r="X722" s="77"/>
      <c r="Y722" s="78">
        <f>3/7</f>
        <v>0.42857142857142855</v>
      </c>
      <c r="Z722" s="79"/>
      <c r="AA722" s="69"/>
      <c r="AB722" s="68"/>
      <c r="AC722" s="68"/>
      <c r="AD722" s="68"/>
      <c r="AE722" s="80">
        <v>1</v>
      </c>
      <c r="AF722" s="80"/>
      <c r="AG722" s="80"/>
      <c r="AH722" s="80"/>
      <c r="AI722" s="81" t="s">
        <v>54</v>
      </c>
      <c r="AJ722" s="81" t="s">
        <v>56</v>
      </c>
      <c r="AK722" s="81">
        <v>1991</v>
      </c>
      <c r="AL722" s="81" t="s">
        <v>57</v>
      </c>
      <c r="AM722" s="81"/>
    </row>
    <row r="723" spans="1:39" s="82" customFormat="1" x14ac:dyDescent="0.3">
      <c r="A723" s="67">
        <v>6</v>
      </c>
      <c r="B723" s="68">
        <v>6</v>
      </c>
      <c r="C723" s="68"/>
      <c r="D723" s="68">
        <v>0</v>
      </c>
      <c r="E723" s="68"/>
      <c r="F723" s="68">
        <v>0</v>
      </c>
      <c r="G723" s="69"/>
      <c r="H723" s="68"/>
      <c r="I723" s="69"/>
      <c r="J723" s="69"/>
      <c r="K723" s="70">
        <v>3</v>
      </c>
      <c r="L723" s="68">
        <v>60</v>
      </c>
      <c r="M723" s="71"/>
      <c r="N723" s="72">
        <v>5.7</v>
      </c>
      <c r="O723" s="84"/>
      <c r="P723" s="73"/>
      <c r="Q723" s="84"/>
      <c r="R723" s="74"/>
      <c r="S723" s="74"/>
      <c r="T723" s="75"/>
      <c r="U723" s="75"/>
      <c r="V723" s="76"/>
      <c r="W723" s="76"/>
      <c r="X723" s="77"/>
      <c r="Y723" s="78">
        <v>0.33</v>
      </c>
      <c r="Z723" s="79"/>
      <c r="AA723" s="69"/>
      <c r="AB723" s="68"/>
      <c r="AC723" s="68"/>
      <c r="AD723" s="68"/>
      <c r="AE723" s="80">
        <v>0</v>
      </c>
      <c r="AF723" s="80"/>
      <c r="AG723" s="80"/>
      <c r="AH723" s="80"/>
      <c r="AI723" s="81" t="s">
        <v>145</v>
      </c>
      <c r="AJ723" s="81" t="s">
        <v>56</v>
      </c>
      <c r="AK723" s="81">
        <v>1991</v>
      </c>
      <c r="AL723" s="81" t="s">
        <v>57</v>
      </c>
      <c r="AM723" s="81"/>
    </row>
    <row r="724" spans="1:39" s="82" customFormat="1" x14ac:dyDescent="0.3">
      <c r="A724" s="67">
        <v>7</v>
      </c>
      <c r="B724" s="68">
        <v>7</v>
      </c>
      <c r="C724" s="68"/>
      <c r="D724" s="68">
        <v>0</v>
      </c>
      <c r="E724" s="68"/>
      <c r="F724" s="68">
        <v>1</v>
      </c>
      <c r="G724" s="69">
        <v>5.7</v>
      </c>
      <c r="H724" s="68"/>
      <c r="I724" s="69"/>
      <c r="J724" s="69"/>
      <c r="K724" s="70">
        <v>3</v>
      </c>
      <c r="L724" s="68">
        <v>120</v>
      </c>
      <c r="M724" s="71"/>
      <c r="N724" s="72">
        <v>5.7</v>
      </c>
      <c r="O724" s="84"/>
      <c r="P724" s="73"/>
      <c r="Q724" s="84"/>
      <c r="R724" s="74"/>
      <c r="S724" s="74"/>
      <c r="T724" s="75"/>
      <c r="U724" s="75"/>
      <c r="V724" s="76"/>
      <c r="W724" s="76"/>
      <c r="X724" s="77"/>
      <c r="Y724" s="78">
        <v>0.14000000000000001</v>
      </c>
      <c r="Z724" s="79"/>
      <c r="AA724" s="69"/>
      <c r="AB724" s="68"/>
      <c r="AC724" s="68"/>
      <c r="AD724" s="68"/>
      <c r="AE724" s="80">
        <v>1</v>
      </c>
      <c r="AF724" s="80"/>
      <c r="AG724" s="80"/>
      <c r="AH724" s="80"/>
      <c r="AI724" s="81" t="s">
        <v>147</v>
      </c>
      <c r="AJ724" s="81" t="s">
        <v>56</v>
      </c>
      <c r="AK724" s="81">
        <v>1991</v>
      </c>
      <c r="AL724" s="81" t="s">
        <v>57</v>
      </c>
      <c r="AM724" s="81"/>
    </row>
    <row r="725" spans="1:39" s="82" customFormat="1" x14ac:dyDescent="0.3">
      <c r="A725" s="67">
        <v>5</v>
      </c>
      <c r="B725" s="68">
        <v>5</v>
      </c>
      <c r="C725" s="68"/>
      <c r="D725" s="68">
        <v>0</v>
      </c>
      <c r="E725" s="68"/>
      <c r="F725" s="68">
        <v>2</v>
      </c>
      <c r="G725" s="69">
        <v>5.7</v>
      </c>
      <c r="H725" s="68"/>
      <c r="I725" s="69"/>
      <c r="J725" s="69"/>
      <c r="K725" s="70">
        <v>3</v>
      </c>
      <c r="L725" s="68">
        <v>360</v>
      </c>
      <c r="M725" s="71"/>
      <c r="N725" s="72">
        <v>5.7</v>
      </c>
      <c r="O725" s="84"/>
      <c r="P725" s="73"/>
      <c r="Q725" s="84"/>
      <c r="R725" s="74"/>
      <c r="S725" s="74"/>
      <c r="T725" s="75"/>
      <c r="U725" s="75"/>
      <c r="V725" s="76"/>
      <c r="W725" s="76"/>
      <c r="X725" s="77"/>
      <c r="Y725" s="78">
        <v>0.6</v>
      </c>
      <c r="Z725" s="79"/>
      <c r="AA725" s="69"/>
      <c r="AB725" s="68"/>
      <c r="AC725" s="68"/>
      <c r="AD725" s="68"/>
      <c r="AE725" s="80">
        <v>1</v>
      </c>
      <c r="AF725" s="80"/>
      <c r="AG725" s="80"/>
      <c r="AH725" s="80"/>
      <c r="AI725" s="81" t="s">
        <v>148</v>
      </c>
      <c r="AJ725" s="81" t="s">
        <v>56</v>
      </c>
      <c r="AK725" s="81">
        <v>1991</v>
      </c>
      <c r="AL725" s="81" t="s">
        <v>57</v>
      </c>
      <c r="AM725" s="81"/>
    </row>
    <row r="726" spans="1:39" s="82" customFormat="1" x14ac:dyDescent="0.3">
      <c r="A726" s="67">
        <v>3</v>
      </c>
      <c r="B726" s="68">
        <v>3</v>
      </c>
      <c r="C726" s="68"/>
      <c r="D726" s="68">
        <v>0</v>
      </c>
      <c r="E726" s="68"/>
      <c r="F726" s="68">
        <v>1</v>
      </c>
      <c r="G726" s="69">
        <v>5.7</v>
      </c>
      <c r="H726" s="68"/>
      <c r="I726" s="69"/>
      <c r="J726" s="69"/>
      <c r="K726" s="70">
        <v>3</v>
      </c>
      <c r="L726" s="68">
        <v>120</v>
      </c>
      <c r="M726" s="71"/>
      <c r="N726" s="72">
        <v>5.7</v>
      </c>
      <c r="O726" s="84"/>
      <c r="P726" s="73"/>
      <c r="Q726" s="84"/>
      <c r="R726" s="74"/>
      <c r="S726" s="74"/>
      <c r="T726" s="75"/>
      <c r="U726" s="75"/>
      <c r="V726" s="76"/>
      <c r="W726" s="76"/>
      <c r="X726" s="77"/>
      <c r="Y726" s="78">
        <v>0</v>
      </c>
      <c r="Z726" s="79"/>
      <c r="AA726" s="69"/>
      <c r="AB726" s="68"/>
      <c r="AC726" s="68"/>
      <c r="AD726" s="68"/>
      <c r="AE726" s="80">
        <v>0</v>
      </c>
      <c r="AF726" s="80"/>
      <c r="AG726" s="80"/>
      <c r="AH726" s="80"/>
      <c r="AI726" s="81" t="s">
        <v>146</v>
      </c>
      <c r="AJ726" s="81" t="s">
        <v>56</v>
      </c>
      <c r="AK726" s="81">
        <v>1991</v>
      </c>
      <c r="AL726" s="81" t="s">
        <v>57</v>
      </c>
      <c r="AM726" s="81"/>
    </row>
    <row r="727" spans="1:39" s="82" customFormat="1" x14ac:dyDescent="0.3">
      <c r="A727" s="67">
        <v>5</v>
      </c>
      <c r="B727" s="68">
        <v>5</v>
      </c>
      <c r="C727" s="68"/>
      <c r="D727" s="68">
        <v>2</v>
      </c>
      <c r="E727" s="68">
        <v>32</v>
      </c>
      <c r="F727" s="68">
        <v>0</v>
      </c>
      <c r="G727" s="69"/>
      <c r="H727" s="68"/>
      <c r="I727" s="69"/>
      <c r="J727" s="69"/>
      <c r="K727" s="70">
        <v>3</v>
      </c>
      <c r="L727" s="68">
        <v>360</v>
      </c>
      <c r="M727" s="71"/>
      <c r="N727" s="72">
        <v>5.7</v>
      </c>
      <c r="O727" s="84"/>
      <c r="P727" s="73"/>
      <c r="Q727" s="84"/>
      <c r="R727" s="74"/>
      <c r="S727" s="74"/>
      <c r="T727" s="75"/>
      <c r="U727" s="75"/>
      <c r="V727" s="76"/>
      <c r="W727" s="76"/>
      <c r="X727" s="77"/>
      <c r="Y727" s="78">
        <f>3/5</f>
        <v>0.6</v>
      </c>
      <c r="Z727" s="79"/>
      <c r="AA727" s="69"/>
      <c r="AB727" s="68"/>
      <c r="AC727" s="68"/>
      <c r="AD727" s="68"/>
      <c r="AE727" s="80">
        <v>1</v>
      </c>
      <c r="AF727" s="80"/>
      <c r="AG727" s="80"/>
      <c r="AH727" s="80"/>
      <c r="AI727" s="81" t="s">
        <v>55</v>
      </c>
      <c r="AJ727" s="81" t="s">
        <v>56</v>
      </c>
      <c r="AK727" s="81">
        <v>1991</v>
      </c>
      <c r="AL727" s="81" t="s">
        <v>57</v>
      </c>
      <c r="AM727" s="81"/>
    </row>
    <row r="728" spans="1:39" s="82" customFormat="1" x14ac:dyDescent="0.3">
      <c r="A728" s="67">
        <v>7</v>
      </c>
      <c r="B728" s="68">
        <v>7</v>
      </c>
      <c r="C728" s="68"/>
      <c r="D728" s="68">
        <v>1</v>
      </c>
      <c r="E728" s="68">
        <v>32</v>
      </c>
      <c r="F728" s="68">
        <v>0</v>
      </c>
      <c r="G728" s="69"/>
      <c r="H728" s="68"/>
      <c r="I728" s="69"/>
      <c r="J728" s="69"/>
      <c r="K728" s="70">
        <v>3</v>
      </c>
      <c r="L728" s="68">
        <v>120</v>
      </c>
      <c r="M728" s="71"/>
      <c r="N728" s="72">
        <v>5.7</v>
      </c>
      <c r="O728" s="84"/>
      <c r="P728" s="73"/>
      <c r="Q728" s="84"/>
      <c r="R728" s="74"/>
      <c r="S728" s="74"/>
      <c r="T728" s="75"/>
      <c r="U728" s="75"/>
      <c r="V728" s="76"/>
      <c r="W728" s="76"/>
      <c r="X728" s="77"/>
      <c r="Y728" s="78">
        <f>1/7</f>
        <v>0.14285714285714285</v>
      </c>
      <c r="Z728" s="79"/>
      <c r="AA728" s="69"/>
      <c r="AB728" s="68"/>
      <c r="AC728" s="68"/>
      <c r="AD728" s="68"/>
      <c r="AE728" s="80">
        <v>1</v>
      </c>
      <c r="AF728" s="80"/>
      <c r="AG728" s="80"/>
      <c r="AH728" s="80"/>
      <c r="AI728" s="81" t="s">
        <v>54</v>
      </c>
      <c r="AJ728" s="81" t="s">
        <v>56</v>
      </c>
      <c r="AK728" s="81">
        <v>1991</v>
      </c>
      <c r="AL728" s="81" t="s">
        <v>57</v>
      </c>
      <c r="AM728" s="81"/>
    </row>
    <row r="729" spans="1:39" s="82" customFormat="1" x14ac:dyDescent="0.3">
      <c r="A729" s="67">
        <v>45</v>
      </c>
      <c r="B729" s="68">
        <v>45</v>
      </c>
      <c r="C729" s="68"/>
      <c r="D729" s="68">
        <v>3</v>
      </c>
      <c r="E729" s="68">
        <v>40</v>
      </c>
      <c r="F729" s="68">
        <v>0</v>
      </c>
      <c r="G729" s="69"/>
      <c r="H729" s="68"/>
      <c r="I729" s="69"/>
      <c r="J729" s="69"/>
      <c r="K729" s="70">
        <v>1</v>
      </c>
      <c r="L729" s="68">
        <v>720</v>
      </c>
      <c r="M729" s="71"/>
      <c r="N729" s="72">
        <v>5.8</v>
      </c>
      <c r="O729" s="84">
        <v>720</v>
      </c>
      <c r="P729" s="73"/>
      <c r="Q729" s="84">
        <v>0</v>
      </c>
      <c r="R729" s="74">
        <v>9.8000000000000007</v>
      </c>
      <c r="S729" s="74">
        <v>3.1</v>
      </c>
      <c r="T729" s="75"/>
      <c r="U729" s="75"/>
      <c r="V729" s="76"/>
      <c r="W729" s="76"/>
      <c r="X729" s="77"/>
      <c r="Y729" s="78">
        <f>37/45</f>
        <v>0.82222222222222219</v>
      </c>
      <c r="Z729" s="79">
        <v>3.24</v>
      </c>
      <c r="AA729" s="69"/>
      <c r="AB729" s="68">
        <v>19.95</v>
      </c>
      <c r="AC729" s="68">
        <v>212</v>
      </c>
      <c r="AD729" s="68"/>
      <c r="AE729" s="80"/>
      <c r="AF729" s="80"/>
      <c r="AG729" s="80"/>
      <c r="AH729" s="80"/>
      <c r="AI729" s="81" t="s">
        <v>73</v>
      </c>
      <c r="AJ729" s="81" t="s">
        <v>164</v>
      </c>
      <c r="AK729" s="81">
        <v>1991</v>
      </c>
      <c r="AL729" s="81" t="s">
        <v>72</v>
      </c>
      <c r="AM729" s="81"/>
    </row>
    <row r="730" spans="1:39" s="82" customFormat="1" x14ac:dyDescent="0.3">
      <c r="A730" s="67">
        <v>48</v>
      </c>
      <c r="B730" s="68">
        <v>48</v>
      </c>
      <c r="C730" s="68"/>
      <c r="D730" s="68">
        <v>3</v>
      </c>
      <c r="E730" s="68">
        <v>40</v>
      </c>
      <c r="F730" s="68">
        <v>0</v>
      </c>
      <c r="G730" s="69"/>
      <c r="H730" s="68"/>
      <c r="I730" s="69"/>
      <c r="J730" s="69"/>
      <c r="K730" s="70">
        <v>1</v>
      </c>
      <c r="L730" s="68">
        <v>720</v>
      </c>
      <c r="M730" s="71"/>
      <c r="N730" s="72">
        <v>2.8</v>
      </c>
      <c r="O730" s="84">
        <v>720</v>
      </c>
      <c r="P730" s="73"/>
      <c r="Q730" s="84">
        <v>0</v>
      </c>
      <c r="R730" s="74">
        <v>9.8000000000000007</v>
      </c>
      <c r="S730" s="74">
        <v>3.1</v>
      </c>
      <c r="T730" s="75"/>
      <c r="U730" s="75"/>
      <c r="V730" s="76"/>
      <c r="W730" s="76"/>
      <c r="X730" s="77"/>
      <c r="Y730" s="78">
        <f>22/48</f>
        <v>0.45833333333333331</v>
      </c>
      <c r="Z730" s="79">
        <v>3.24</v>
      </c>
      <c r="AA730" s="69"/>
      <c r="AB730" s="68">
        <v>18.2</v>
      </c>
      <c r="AC730" s="68">
        <v>120</v>
      </c>
      <c r="AD730" s="68"/>
      <c r="AE730" s="80"/>
      <c r="AF730" s="80"/>
      <c r="AG730" s="80"/>
      <c r="AH730" s="80"/>
      <c r="AI730" s="81" t="s">
        <v>74</v>
      </c>
      <c r="AJ730" s="81" t="s">
        <v>164</v>
      </c>
      <c r="AK730" s="81">
        <v>1991</v>
      </c>
      <c r="AL730" s="81" t="s">
        <v>72</v>
      </c>
      <c r="AM730" s="81"/>
    </row>
    <row r="731" spans="1:39" s="82" customFormat="1" x14ac:dyDescent="0.3">
      <c r="A731" s="67">
        <v>45</v>
      </c>
      <c r="B731" s="68">
        <v>45</v>
      </c>
      <c r="C731" s="68"/>
      <c r="D731" s="68">
        <v>0</v>
      </c>
      <c r="E731" s="68"/>
      <c r="F731" s="68">
        <v>3</v>
      </c>
      <c r="G731" s="69">
        <v>5.9</v>
      </c>
      <c r="H731" s="68"/>
      <c r="I731" s="69"/>
      <c r="J731" s="69"/>
      <c r="K731" s="70">
        <v>1</v>
      </c>
      <c r="L731" s="68">
        <v>708</v>
      </c>
      <c r="M731" s="71"/>
      <c r="N731" s="72">
        <v>5.8</v>
      </c>
      <c r="O731" s="84">
        <v>708</v>
      </c>
      <c r="P731" s="73"/>
      <c r="Q731" s="84">
        <v>0</v>
      </c>
      <c r="R731" s="74">
        <v>7</v>
      </c>
      <c r="S731" s="74">
        <v>5.3</v>
      </c>
      <c r="T731" s="75"/>
      <c r="U731" s="75"/>
      <c r="V731" s="76"/>
      <c r="W731" s="76"/>
      <c r="X731" s="77"/>
      <c r="Y731" s="78">
        <v>0.31</v>
      </c>
      <c r="Z731" s="79">
        <v>2.54</v>
      </c>
      <c r="AA731" s="69"/>
      <c r="AB731" s="68">
        <v>10.3</v>
      </c>
      <c r="AC731" s="68">
        <v>50</v>
      </c>
      <c r="AD731" s="68"/>
      <c r="AE731" s="80"/>
      <c r="AF731" s="80"/>
      <c r="AG731" s="80"/>
      <c r="AH731" s="80"/>
      <c r="AI731" s="81" t="s">
        <v>210</v>
      </c>
      <c r="AJ731" s="81" t="s">
        <v>164</v>
      </c>
      <c r="AK731" s="81">
        <v>1991</v>
      </c>
      <c r="AL731" s="81" t="s">
        <v>72</v>
      </c>
      <c r="AM731" s="81" t="s">
        <v>165</v>
      </c>
    </row>
    <row r="732" spans="1:39" s="82" customFormat="1" x14ac:dyDescent="0.3">
      <c r="A732" s="67">
        <v>34</v>
      </c>
      <c r="B732" s="68">
        <v>34</v>
      </c>
      <c r="C732" s="68"/>
      <c r="D732" s="68">
        <v>0</v>
      </c>
      <c r="E732" s="68"/>
      <c r="F732" s="68">
        <v>3</v>
      </c>
      <c r="G732" s="69">
        <v>5.9</v>
      </c>
      <c r="H732" s="68"/>
      <c r="I732" s="69"/>
      <c r="J732" s="69"/>
      <c r="K732" s="70">
        <v>1</v>
      </c>
      <c r="L732" s="68">
        <v>708</v>
      </c>
      <c r="M732" s="71"/>
      <c r="N732" s="72">
        <v>2.8</v>
      </c>
      <c r="O732" s="84">
        <v>708</v>
      </c>
      <c r="P732" s="73"/>
      <c r="Q732" s="84">
        <v>0</v>
      </c>
      <c r="R732" s="74">
        <v>7</v>
      </c>
      <c r="S732" s="74">
        <v>5.3</v>
      </c>
      <c r="T732" s="75"/>
      <c r="U732" s="75"/>
      <c r="V732" s="76"/>
      <c r="W732" s="76"/>
      <c r="X732" s="77"/>
      <c r="Y732" s="78">
        <v>0.18</v>
      </c>
      <c r="Z732" s="79">
        <v>2.54</v>
      </c>
      <c r="AA732" s="69"/>
      <c r="AB732" s="68">
        <v>5.7</v>
      </c>
      <c r="AC732" s="68">
        <v>11</v>
      </c>
      <c r="AD732" s="68"/>
      <c r="AE732" s="80"/>
      <c r="AF732" s="80"/>
      <c r="AG732" s="80"/>
      <c r="AH732" s="80"/>
      <c r="AI732" s="81" t="s">
        <v>209</v>
      </c>
      <c r="AJ732" s="81" t="s">
        <v>164</v>
      </c>
      <c r="AK732" s="81">
        <v>1991</v>
      </c>
      <c r="AL732" s="81" t="s">
        <v>72</v>
      </c>
      <c r="AM732" s="81" t="s">
        <v>165</v>
      </c>
    </row>
    <row r="733" spans="1:39" s="82" customFormat="1" x14ac:dyDescent="0.3">
      <c r="A733" s="67">
        <v>123</v>
      </c>
      <c r="B733" s="68">
        <v>118</v>
      </c>
      <c r="C733" s="68"/>
      <c r="D733" s="68">
        <v>3</v>
      </c>
      <c r="E733" s="68">
        <v>20</v>
      </c>
      <c r="F733" s="68">
        <v>0</v>
      </c>
      <c r="G733" s="69"/>
      <c r="H733" s="68"/>
      <c r="I733" s="69"/>
      <c r="J733" s="69"/>
      <c r="K733" s="70">
        <v>1</v>
      </c>
      <c r="L733" s="68">
        <v>1080</v>
      </c>
      <c r="M733" s="71"/>
      <c r="N733" s="72">
        <v>5.2</v>
      </c>
      <c r="O733" s="84">
        <v>1080</v>
      </c>
      <c r="P733" s="73">
        <f>92/122</f>
        <v>0.75409836065573765</v>
      </c>
      <c r="Q733" s="84">
        <v>0</v>
      </c>
      <c r="R733" s="74">
        <v>5.52</v>
      </c>
      <c r="S733" s="74">
        <v>10.17</v>
      </c>
      <c r="T733" s="75">
        <v>9.85</v>
      </c>
      <c r="U733" s="75">
        <v>4.1100000000000003</v>
      </c>
      <c r="V733" s="76">
        <f>115/121</f>
        <v>0.95041322314049592</v>
      </c>
      <c r="W733" s="76">
        <v>0.99180327868852458</v>
      </c>
      <c r="X733" s="77">
        <v>1140</v>
      </c>
      <c r="Y733" s="78">
        <f>107/118</f>
        <v>0.90677966101694918</v>
      </c>
      <c r="Z733" s="79"/>
      <c r="AA733" s="69"/>
      <c r="AB733" s="68">
        <v>30.1</v>
      </c>
      <c r="AC733" s="68"/>
      <c r="AD733" s="68"/>
      <c r="AE733" s="80"/>
      <c r="AF733" s="80"/>
      <c r="AG733" s="80"/>
      <c r="AH733" s="80"/>
      <c r="AI733" s="81" t="s">
        <v>78</v>
      </c>
      <c r="AJ733" s="81" t="s">
        <v>75</v>
      </c>
      <c r="AK733" s="81">
        <v>1964</v>
      </c>
      <c r="AL733" s="81" t="s">
        <v>76</v>
      </c>
      <c r="AM733" s="81" t="s">
        <v>77</v>
      </c>
    </row>
    <row r="734" spans="1:39" s="82" customFormat="1" x14ac:dyDescent="0.3">
      <c r="A734" s="67">
        <v>304</v>
      </c>
      <c r="B734" s="68"/>
      <c r="C734" s="68"/>
      <c r="D734" s="68">
        <v>0</v>
      </c>
      <c r="E734" s="68"/>
      <c r="F734" s="68">
        <v>0</v>
      </c>
      <c r="G734" s="69"/>
      <c r="H734" s="68">
        <v>0</v>
      </c>
      <c r="I734" s="69">
        <v>7.1292830169449672</v>
      </c>
      <c r="J734" s="69">
        <v>2.6869669801084841</v>
      </c>
      <c r="K734" s="70">
        <v>1</v>
      </c>
      <c r="L734" s="68">
        <v>0</v>
      </c>
      <c r="M734" s="71"/>
      <c r="N734" s="72">
        <v>6</v>
      </c>
      <c r="O734" s="84">
        <v>0</v>
      </c>
      <c r="P734" s="73">
        <f>301/304</f>
        <v>0.99013157894736847</v>
      </c>
      <c r="Q734" s="84">
        <v>1</v>
      </c>
      <c r="R734" s="74">
        <v>7.1292830169449672</v>
      </c>
      <c r="S734" s="74">
        <v>2.6869669801084841</v>
      </c>
      <c r="T734" s="75">
        <f>R735</f>
        <v>5.6147098441152083</v>
      </c>
      <c r="U734" s="75">
        <f>S735</f>
        <v>2.6455412907774201</v>
      </c>
      <c r="V734" s="76"/>
      <c r="W734" s="76">
        <f>P735</f>
        <v>0.85818181818181816</v>
      </c>
      <c r="X734" s="77">
        <f>O735</f>
        <v>42</v>
      </c>
      <c r="Y734" s="78"/>
      <c r="Z734" s="79"/>
      <c r="AA734" s="69"/>
      <c r="AB734" s="68"/>
      <c r="AC734" s="68"/>
      <c r="AD734" s="68"/>
      <c r="AE734" s="80"/>
      <c r="AF734" s="80"/>
      <c r="AG734" s="80"/>
      <c r="AH734" s="80"/>
      <c r="AI734" s="81" t="s">
        <v>542</v>
      </c>
      <c r="AJ734" s="81" t="s">
        <v>539</v>
      </c>
      <c r="AK734" s="81">
        <v>2003</v>
      </c>
      <c r="AL734" s="81" t="s">
        <v>543</v>
      </c>
      <c r="AM734" s="81"/>
    </row>
    <row r="735" spans="1:39" s="82" customFormat="1" x14ac:dyDescent="0.3">
      <c r="A735" s="67">
        <v>304</v>
      </c>
      <c r="B735" s="68"/>
      <c r="C735" s="68"/>
      <c r="D735" s="68">
        <v>0</v>
      </c>
      <c r="E735" s="68"/>
      <c r="F735" s="68">
        <v>1</v>
      </c>
      <c r="G735" s="69">
        <v>6</v>
      </c>
      <c r="H735" s="68">
        <v>0</v>
      </c>
      <c r="I735" s="69">
        <v>7.1292830169449672</v>
      </c>
      <c r="J735" s="69">
        <v>2.6869669801084841</v>
      </c>
      <c r="K735" s="70">
        <v>1</v>
      </c>
      <c r="L735" s="68">
        <v>42</v>
      </c>
      <c r="M735" s="71"/>
      <c r="N735" s="72">
        <v>6</v>
      </c>
      <c r="O735" s="84">
        <v>42</v>
      </c>
      <c r="P735" s="73">
        <f>236/275</f>
        <v>0.85818181818181816</v>
      </c>
      <c r="Q735" s="84">
        <v>1</v>
      </c>
      <c r="R735" s="74">
        <v>5.6147098441152083</v>
      </c>
      <c r="S735" s="74">
        <v>2.6455412907774201</v>
      </c>
      <c r="T735" s="75"/>
      <c r="U735" s="75"/>
      <c r="V735" s="76"/>
      <c r="W735" s="76"/>
      <c r="X735" s="77"/>
      <c r="Y735" s="78"/>
      <c r="Z735" s="79"/>
      <c r="AA735" s="69"/>
      <c r="AB735" s="68"/>
      <c r="AC735" s="68"/>
      <c r="AD735" s="68"/>
      <c r="AE735" s="80"/>
      <c r="AF735" s="80"/>
      <c r="AG735" s="80"/>
      <c r="AH735" s="80"/>
      <c r="AI735" s="81" t="s">
        <v>542</v>
      </c>
      <c r="AJ735" s="81" t="s">
        <v>539</v>
      </c>
      <c r="AK735" s="81">
        <v>2003</v>
      </c>
      <c r="AL735" s="81" t="s">
        <v>543</v>
      </c>
      <c r="AM735" s="81"/>
    </row>
    <row r="736" spans="1:39" s="82" customFormat="1" x14ac:dyDescent="0.3">
      <c r="A736" s="67">
        <v>304</v>
      </c>
      <c r="B736" s="68"/>
      <c r="C736" s="68"/>
      <c r="D736" s="68">
        <v>0</v>
      </c>
      <c r="E736" s="68"/>
      <c r="F736" s="68">
        <v>2</v>
      </c>
      <c r="G736" s="69">
        <v>6</v>
      </c>
      <c r="H736" s="68">
        <v>0</v>
      </c>
      <c r="I736" s="69">
        <v>7.1292830169449672</v>
      </c>
      <c r="J736" s="69">
        <v>2.6869669801084841</v>
      </c>
      <c r="K736" s="70">
        <v>1</v>
      </c>
      <c r="L736" s="68">
        <v>70</v>
      </c>
      <c r="M736" s="71"/>
      <c r="N736" s="72">
        <v>6</v>
      </c>
      <c r="O736" s="84"/>
      <c r="P736" s="73"/>
      <c r="Q736" s="84">
        <v>1</v>
      </c>
      <c r="R736" s="74"/>
      <c r="S736" s="74"/>
      <c r="T736" s="75"/>
      <c r="U736" s="75"/>
      <c r="V736" s="76"/>
      <c r="W736" s="76"/>
      <c r="X736" s="77"/>
      <c r="Y736" s="78"/>
      <c r="Z736" s="79"/>
      <c r="AA736" s="69"/>
      <c r="AB736" s="68"/>
      <c r="AC736" s="68"/>
      <c r="AD736" s="68"/>
      <c r="AE736" s="80"/>
      <c r="AF736" s="80"/>
      <c r="AG736" s="80"/>
      <c r="AH736" s="80"/>
      <c r="AI736" s="81" t="s">
        <v>542</v>
      </c>
      <c r="AJ736" s="81" t="s">
        <v>539</v>
      </c>
      <c r="AK736" s="81">
        <v>2003</v>
      </c>
      <c r="AL736" s="81" t="s">
        <v>543</v>
      </c>
      <c r="AM736" s="81"/>
    </row>
    <row r="737" spans="1:39" s="82" customFormat="1" x14ac:dyDescent="0.3">
      <c r="A737" s="67">
        <v>304</v>
      </c>
      <c r="B737" s="68"/>
      <c r="C737" s="68"/>
      <c r="D737" s="68">
        <v>0</v>
      </c>
      <c r="E737" s="68"/>
      <c r="F737" s="68">
        <v>3</v>
      </c>
      <c r="G737" s="69">
        <v>6</v>
      </c>
      <c r="H737" s="68">
        <v>0</v>
      </c>
      <c r="I737" s="69">
        <v>7.1292830169449672</v>
      </c>
      <c r="J737" s="69">
        <v>2.6869669801084841</v>
      </c>
      <c r="K737" s="70">
        <v>1</v>
      </c>
      <c r="L737" s="68">
        <v>98</v>
      </c>
      <c r="M737" s="71">
        <v>40</v>
      </c>
      <c r="N737" s="72">
        <v>6</v>
      </c>
      <c r="O737" s="84"/>
      <c r="P737" s="73"/>
      <c r="Q737" s="84">
        <v>1</v>
      </c>
      <c r="R737" s="74"/>
      <c r="S737" s="74"/>
      <c r="T737" s="75"/>
      <c r="U737" s="75"/>
      <c r="V737" s="76"/>
      <c r="W737" s="76"/>
      <c r="X737" s="77"/>
      <c r="Y737" s="78"/>
      <c r="Z737" s="79"/>
      <c r="AA737" s="69"/>
      <c r="AB737" s="68"/>
      <c r="AC737" s="68"/>
      <c r="AD737" s="68"/>
      <c r="AE737" s="80"/>
      <c r="AF737" s="80"/>
      <c r="AG737" s="80"/>
      <c r="AH737" s="80"/>
      <c r="AI737" s="81" t="s">
        <v>542</v>
      </c>
      <c r="AJ737" s="81" t="s">
        <v>539</v>
      </c>
      <c r="AK737" s="81">
        <v>2003</v>
      </c>
      <c r="AL737" s="81" t="s">
        <v>543</v>
      </c>
      <c r="AM737" s="81"/>
    </row>
    <row r="738" spans="1:39" s="82" customFormat="1" x14ac:dyDescent="0.3">
      <c r="A738" s="67">
        <v>304</v>
      </c>
      <c r="B738" s="68">
        <v>0</v>
      </c>
      <c r="C738" s="68">
        <v>1</v>
      </c>
      <c r="D738" s="68">
        <v>0</v>
      </c>
      <c r="E738" s="68">
        <v>40</v>
      </c>
      <c r="F738" s="68">
        <v>3</v>
      </c>
      <c r="G738" s="69">
        <v>6</v>
      </c>
      <c r="H738" s="68">
        <v>0</v>
      </c>
      <c r="I738" s="69">
        <v>7.1292830169449672</v>
      </c>
      <c r="J738" s="69">
        <v>2.6869669801084841</v>
      </c>
      <c r="K738" s="70">
        <v>1</v>
      </c>
      <c r="L738" s="68">
        <f>24*7</f>
        <v>168</v>
      </c>
      <c r="M738" s="71"/>
      <c r="N738" s="72"/>
      <c r="O738" s="84">
        <v>168</v>
      </c>
      <c r="P738" s="73">
        <f>277/304</f>
        <v>0.91118421052631582</v>
      </c>
      <c r="Q738" s="84">
        <v>1</v>
      </c>
      <c r="R738" s="74">
        <v>8.1598713367783891</v>
      </c>
      <c r="S738" s="74">
        <v>4.5517704893956195</v>
      </c>
      <c r="T738" s="75"/>
      <c r="U738" s="75"/>
      <c r="V738" s="76"/>
      <c r="W738" s="76"/>
      <c r="X738" s="77"/>
      <c r="Y738" s="78">
        <f>18/214</f>
        <v>8.4112149532710276E-2</v>
      </c>
      <c r="Z738" s="79"/>
      <c r="AA738" s="69"/>
      <c r="AB738" s="68"/>
      <c r="AC738" s="68"/>
      <c r="AD738" s="68"/>
      <c r="AE738" s="80"/>
      <c r="AF738" s="80"/>
      <c r="AG738" s="80"/>
      <c r="AH738" s="80"/>
      <c r="AI738" s="81" t="s">
        <v>542</v>
      </c>
      <c r="AJ738" s="81" t="s">
        <v>539</v>
      </c>
      <c r="AK738" s="81">
        <v>2003</v>
      </c>
      <c r="AL738" s="81" t="s">
        <v>543</v>
      </c>
      <c r="AM738" s="81"/>
    </row>
    <row r="739" spans="1:39" s="82" customFormat="1" x14ac:dyDescent="0.3">
      <c r="A739" s="67">
        <v>292</v>
      </c>
      <c r="B739" s="68"/>
      <c r="C739" s="68"/>
      <c r="D739" s="68">
        <v>0</v>
      </c>
      <c r="E739" s="68"/>
      <c r="F739" s="68">
        <v>0</v>
      </c>
      <c r="G739" s="69"/>
      <c r="H739" s="68">
        <v>0</v>
      </c>
      <c r="I739" s="69">
        <v>7.5774288280357487</v>
      </c>
      <c r="J739" s="69">
        <v>2.9063510892070612</v>
      </c>
      <c r="K739" s="70">
        <v>1</v>
      </c>
      <c r="L739" s="68">
        <v>0</v>
      </c>
      <c r="M739" s="71"/>
      <c r="N739" s="72">
        <v>6</v>
      </c>
      <c r="O739" s="84">
        <v>0</v>
      </c>
      <c r="P739" s="73">
        <v>1</v>
      </c>
      <c r="Q739" s="84">
        <v>1</v>
      </c>
      <c r="R739" s="74">
        <v>7.5774288280357487</v>
      </c>
      <c r="S739" s="74">
        <v>2.9063510892070612</v>
      </c>
      <c r="T739" s="75">
        <f>R740</f>
        <v>5.7279204545631988</v>
      </c>
      <c r="U739" s="75">
        <f>S740</f>
        <v>2.5138931287704116</v>
      </c>
      <c r="V739" s="76"/>
      <c r="W739" s="76">
        <f>P740</f>
        <v>0.85036496350364965</v>
      </c>
      <c r="X739" s="77">
        <f>O740</f>
        <v>42</v>
      </c>
      <c r="Y739" s="78"/>
      <c r="Z739" s="79"/>
      <c r="AA739" s="69"/>
      <c r="AB739" s="68"/>
      <c r="AC739" s="68"/>
      <c r="AD739" s="68"/>
      <c r="AE739" s="80"/>
      <c r="AF739" s="80"/>
      <c r="AG739" s="80"/>
      <c r="AH739" s="80"/>
      <c r="AI739" s="81" t="s">
        <v>541</v>
      </c>
      <c r="AJ739" s="81" t="s">
        <v>539</v>
      </c>
      <c r="AK739" s="81">
        <v>2003</v>
      </c>
      <c r="AL739" s="81" t="s">
        <v>543</v>
      </c>
      <c r="AM739" s="81"/>
    </row>
    <row r="740" spans="1:39" s="82" customFormat="1" x14ac:dyDescent="0.3">
      <c r="A740" s="67">
        <v>292</v>
      </c>
      <c r="B740" s="68"/>
      <c r="C740" s="68"/>
      <c r="D740" s="68">
        <v>0</v>
      </c>
      <c r="E740" s="68"/>
      <c r="F740" s="68">
        <v>1</v>
      </c>
      <c r="G740" s="69">
        <v>6</v>
      </c>
      <c r="H740" s="68">
        <v>0</v>
      </c>
      <c r="I740" s="69">
        <v>7.5774288280357487</v>
      </c>
      <c r="J740" s="69">
        <v>2.9063510892070612</v>
      </c>
      <c r="K740" s="70">
        <v>1</v>
      </c>
      <c r="L740" s="68">
        <v>42</v>
      </c>
      <c r="M740" s="71">
        <v>40</v>
      </c>
      <c r="N740" s="72">
        <v>6</v>
      </c>
      <c r="O740" s="84">
        <v>42</v>
      </c>
      <c r="P740" s="73">
        <f>233/274</f>
        <v>0.85036496350364965</v>
      </c>
      <c r="Q740" s="84">
        <v>1</v>
      </c>
      <c r="R740" s="74">
        <v>5.7279204545631988</v>
      </c>
      <c r="S740" s="74">
        <v>2.5138931287704116</v>
      </c>
      <c r="T740" s="75"/>
      <c r="U740" s="75"/>
      <c r="V740" s="76"/>
      <c r="W740" s="76"/>
      <c r="X740" s="77"/>
      <c r="Y740" s="78"/>
      <c r="Z740" s="79"/>
      <c r="AA740" s="69"/>
      <c r="AB740" s="68"/>
      <c r="AC740" s="68"/>
      <c r="AD740" s="68"/>
      <c r="AE740" s="80"/>
      <c r="AF740" s="80"/>
      <c r="AG740" s="80"/>
      <c r="AH740" s="80"/>
      <c r="AI740" s="81" t="s">
        <v>541</v>
      </c>
      <c r="AJ740" s="81" t="s">
        <v>539</v>
      </c>
      <c r="AK740" s="81">
        <v>2003</v>
      </c>
      <c r="AL740" s="81" t="s">
        <v>543</v>
      </c>
      <c r="AM740" s="81"/>
    </row>
    <row r="741" spans="1:39" s="82" customFormat="1" x14ac:dyDescent="0.3">
      <c r="A741" s="67">
        <v>292</v>
      </c>
      <c r="B741" s="68"/>
      <c r="C741" s="68">
        <v>1</v>
      </c>
      <c r="D741" s="68">
        <v>0</v>
      </c>
      <c r="E741" s="68">
        <v>40</v>
      </c>
      <c r="F741" s="68">
        <v>1</v>
      </c>
      <c r="G741" s="69">
        <v>6</v>
      </c>
      <c r="H741" s="68">
        <v>0</v>
      </c>
      <c r="I741" s="69">
        <v>7.5774288280357487</v>
      </c>
      <c r="J741" s="69">
        <v>2.9063510892070612</v>
      </c>
      <c r="K741" s="70">
        <v>1</v>
      </c>
      <c r="L741" s="68">
        <v>70</v>
      </c>
      <c r="M741" s="71">
        <v>40</v>
      </c>
      <c r="N741" s="72">
        <v>6</v>
      </c>
      <c r="O741" s="84"/>
      <c r="P741" s="73"/>
      <c r="Q741" s="84">
        <v>1</v>
      </c>
      <c r="R741" s="74"/>
      <c r="S741" s="74"/>
      <c r="T741" s="75"/>
      <c r="U741" s="75"/>
      <c r="V741" s="76"/>
      <c r="W741" s="76"/>
      <c r="X741" s="77"/>
      <c r="Y741" s="78"/>
      <c r="Z741" s="79"/>
      <c r="AA741" s="69"/>
      <c r="AB741" s="68"/>
      <c r="AC741" s="68"/>
      <c r="AD741" s="68"/>
      <c r="AE741" s="80"/>
      <c r="AF741" s="80"/>
      <c r="AG741" s="80"/>
      <c r="AH741" s="80"/>
      <c r="AI741" s="81" t="s">
        <v>541</v>
      </c>
      <c r="AJ741" s="81" t="s">
        <v>539</v>
      </c>
      <c r="AK741" s="81">
        <v>2003</v>
      </c>
      <c r="AL741" s="81" t="s">
        <v>543</v>
      </c>
      <c r="AM741" s="81"/>
    </row>
    <row r="742" spans="1:39" s="82" customFormat="1" x14ac:dyDescent="0.3">
      <c r="A742" s="67">
        <v>292</v>
      </c>
      <c r="B742" s="68"/>
      <c r="C742" s="68">
        <v>2</v>
      </c>
      <c r="D742" s="68">
        <v>0</v>
      </c>
      <c r="E742" s="68">
        <v>40</v>
      </c>
      <c r="F742" s="68">
        <v>1</v>
      </c>
      <c r="G742" s="69">
        <v>6</v>
      </c>
      <c r="H742" s="68">
        <v>0</v>
      </c>
      <c r="I742" s="69">
        <v>7.5774288280357487</v>
      </c>
      <c r="J742" s="69">
        <v>2.9063510892070612</v>
      </c>
      <c r="K742" s="70">
        <v>1</v>
      </c>
      <c r="L742" s="68">
        <v>98</v>
      </c>
      <c r="M742" s="71">
        <v>40</v>
      </c>
      <c r="N742" s="72">
        <v>6</v>
      </c>
      <c r="O742" s="84"/>
      <c r="P742" s="73"/>
      <c r="Q742" s="84">
        <v>1</v>
      </c>
      <c r="R742" s="74"/>
      <c r="S742" s="74"/>
      <c r="T742" s="75"/>
      <c r="U742" s="75"/>
      <c r="V742" s="76"/>
      <c r="W742" s="76"/>
      <c r="X742" s="77"/>
      <c r="Y742" s="78"/>
      <c r="Z742" s="79"/>
      <c r="AA742" s="69"/>
      <c r="AB742" s="68"/>
      <c r="AC742" s="68"/>
      <c r="AD742" s="68"/>
      <c r="AE742" s="80"/>
      <c r="AF742" s="80"/>
      <c r="AG742" s="80"/>
      <c r="AH742" s="80"/>
      <c r="AI742" s="81" t="s">
        <v>541</v>
      </c>
      <c r="AJ742" s="81" t="s">
        <v>539</v>
      </c>
      <c r="AK742" s="81">
        <v>2003</v>
      </c>
      <c r="AL742" s="81" t="s">
        <v>543</v>
      </c>
      <c r="AM742" s="81"/>
    </row>
    <row r="743" spans="1:39" s="82" customFormat="1" x14ac:dyDescent="0.3">
      <c r="A743" s="67">
        <v>292</v>
      </c>
      <c r="B743" s="68">
        <v>0</v>
      </c>
      <c r="C743" s="68">
        <v>3</v>
      </c>
      <c r="D743" s="68">
        <v>0</v>
      </c>
      <c r="E743" s="68">
        <v>40</v>
      </c>
      <c r="F743" s="68">
        <v>1</v>
      </c>
      <c r="G743" s="69">
        <v>6</v>
      </c>
      <c r="H743" s="68">
        <v>0</v>
      </c>
      <c r="I743" s="69">
        <v>7.5774288280357487</v>
      </c>
      <c r="J743" s="69">
        <v>2.9063510892070612</v>
      </c>
      <c r="K743" s="70">
        <v>1</v>
      </c>
      <c r="L743" s="68">
        <f>24*7</f>
        <v>168</v>
      </c>
      <c r="M743" s="71"/>
      <c r="N743" s="72"/>
      <c r="O743" s="84">
        <v>168</v>
      </c>
      <c r="P743" s="73">
        <f>283/292</f>
        <v>0.96917808219178081</v>
      </c>
      <c r="Q743" s="84">
        <v>1</v>
      </c>
      <c r="R743" s="74">
        <v>8.8765169465649993</v>
      </c>
      <c r="S743" s="74">
        <v>4.4804042041053007</v>
      </c>
      <c r="T743" s="75"/>
      <c r="U743" s="75"/>
      <c r="V743" s="76"/>
      <c r="W743" s="76"/>
      <c r="X743" s="77"/>
      <c r="Y743" s="78">
        <f>3/208</f>
        <v>1.4423076923076924E-2</v>
      </c>
      <c r="Z743" s="79"/>
      <c r="AA743" s="69"/>
      <c r="AB743" s="68"/>
      <c r="AC743" s="68"/>
      <c r="AD743" s="68"/>
      <c r="AE743" s="80"/>
      <c r="AF743" s="80"/>
      <c r="AG743" s="80"/>
      <c r="AH743" s="80"/>
      <c r="AI743" s="81" t="s">
        <v>541</v>
      </c>
      <c r="AJ743" s="81" t="s">
        <v>539</v>
      </c>
      <c r="AK743" s="81">
        <v>2003</v>
      </c>
      <c r="AL743" s="81" t="s">
        <v>543</v>
      </c>
      <c r="AM743" s="81"/>
    </row>
    <row r="744" spans="1:39" s="82" customFormat="1" x14ac:dyDescent="0.3">
      <c r="A744" s="67">
        <v>302</v>
      </c>
      <c r="B744" s="68"/>
      <c r="C744" s="68"/>
      <c r="D744" s="68">
        <v>0</v>
      </c>
      <c r="E744" s="68"/>
      <c r="F744" s="68">
        <v>0</v>
      </c>
      <c r="G744" s="69"/>
      <c r="H744" s="68">
        <v>0</v>
      </c>
      <c r="I744" s="69">
        <v>7.3487281542310772</v>
      </c>
      <c r="J744" s="69">
        <v>2.3341883159280967</v>
      </c>
      <c r="K744" s="70">
        <v>1</v>
      </c>
      <c r="L744" s="68">
        <v>0</v>
      </c>
      <c r="M744" s="71"/>
      <c r="N744" s="72">
        <v>6</v>
      </c>
      <c r="O744" s="84">
        <v>0</v>
      </c>
      <c r="P744" s="73">
        <f>300/302</f>
        <v>0.99337748344370858</v>
      </c>
      <c r="Q744" s="84">
        <v>1</v>
      </c>
      <c r="R744" s="74">
        <v>7.3487281542310772</v>
      </c>
      <c r="S744" s="74">
        <v>2.3341883159280967</v>
      </c>
      <c r="T744" s="75">
        <f>R745</f>
        <v>5.9307373375628867</v>
      </c>
      <c r="U744" s="75">
        <f>S745</f>
        <v>2.5706852110289455</v>
      </c>
      <c r="V744" s="76"/>
      <c r="W744" s="76">
        <f>P745</f>
        <v>0.86381322957198448</v>
      </c>
      <c r="X744" s="77">
        <f>O745</f>
        <v>42</v>
      </c>
      <c r="Y744" s="78"/>
      <c r="Z744" s="79"/>
      <c r="AA744" s="69"/>
      <c r="AB744" s="68"/>
      <c r="AC744" s="68"/>
      <c r="AD744" s="68"/>
      <c r="AE744" s="80"/>
      <c r="AF744" s="80"/>
      <c r="AG744" s="80"/>
      <c r="AH744" s="80"/>
      <c r="AI744" s="81" t="s">
        <v>540</v>
      </c>
      <c r="AJ744" s="81" t="s">
        <v>539</v>
      </c>
      <c r="AK744" s="81">
        <v>2003</v>
      </c>
      <c r="AL744" s="81" t="s">
        <v>543</v>
      </c>
      <c r="AM744" s="81"/>
    </row>
    <row r="745" spans="1:39" s="82" customFormat="1" x14ac:dyDescent="0.3">
      <c r="A745" s="67">
        <v>302</v>
      </c>
      <c r="B745" s="68"/>
      <c r="C745" s="68"/>
      <c r="D745" s="68">
        <v>0</v>
      </c>
      <c r="E745" s="68"/>
      <c r="F745" s="68">
        <v>1</v>
      </c>
      <c r="G745" s="69">
        <v>6</v>
      </c>
      <c r="H745" s="68">
        <v>0</v>
      </c>
      <c r="I745" s="69">
        <v>7.3487281542310772</v>
      </c>
      <c r="J745" s="69">
        <v>2.3341883159280967</v>
      </c>
      <c r="K745" s="70">
        <v>1</v>
      </c>
      <c r="L745" s="68">
        <v>42</v>
      </c>
      <c r="M745" s="71"/>
      <c r="N745" s="72">
        <v>6</v>
      </c>
      <c r="O745" s="84">
        <v>42</v>
      </c>
      <c r="P745" s="73">
        <f>222/257</f>
        <v>0.86381322957198448</v>
      </c>
      <c r="Q745" s="84">
        <v>1</v>
      </c>
      <c r="R745" s="74">
        <v>5.9307373375628867</v>
      </c>
      <c r="S745" s="74">
        <v>2.5706852110289455</v>
      </c>
      <c r="T745" s="75"/>
      <c r="U745" s="75"/>
      <c r="V745" s="76"/>
      <c r="W745" s="76"/>
      <c r="X745" s="77"/>
      <c r="Y745" s="78"/>
      <c r="Z745" s="79"/>
      <c r="AA745" s="69"/>
      <c r="AB745" s="68"/>
      <c r="AC745" s="68"/>
      <c r="AD745" s="68"/>
      <c r="AE745" s="80"/>
      <c r="AF745" s="80"/>
      <c r="AG745" s="80"/>
      <c r="AH745" s="80"/>
      <c r="AI745" s="81" t="s">
        <v>540</v>
      </c>
      <c r="AJ745" s="81" t="s">
        <v>539</v>
      </c>
      <c r="AK745" s="81">
        <v>2003</v>
      </c>
      <c r="AL745" s="81" t="s">
        <v>543</v>
      </c>
      <c r="AM745" s="81"/>
    </row>
    <row r="746" spans="1:39" s="82" customFormat="1" x14ac:dyDescent="0.3">
      <c r="A746" s="67">
        <v>302</v>
      </c>
      <c r="B746" s="68"/>
      <c r="C746" s="68"/>
      <c r="D746" s="68">
        <v>0</v>
      </c>
      <c r="E746" s="68"/>
      <c r="F746" s="68">
        <v>2</v>
      </c>
      <c r="G746" s="69">
        <v>6</v>
      </c>
      <c r="H746" s="68">
        <v>0</v>
      </c>
      <c r="I746" s="69">
        <v>7.3487281542310772</v>
      </c>
      <c r="J746" s="69">
        <v>2.3341883159280967</v>
      </c>
      <c r="K746" s="70">
        <v>1</v>
      </c>
      <c r="L746" s="68">
        <v>70</v>
      </c>
      <c r="M746" s="71"/>
      <c r="N746" s="72">
        <v>6</v>
      </c>
      <c r="O746" s="84"/>
      <c r="P746" s="73"/>
      <c r="Q746" s="84">
        <v>1</v>
      </c>
      <c r="R746" s="74"/>
      <c r="S746" s="74"/>
      <c r="T746" s="75"/>
      <c r="U746" s="75"/>
      <c r="V746" s="76"/>
      <c r="W746" s="76"/>
      <c r="X746" s="77"/>
      <c r="Y746" s="78"/>
      <c r="Z746" s="79"/>
      <c r="AA746" s="69"/>
      <c r="AB746" s="68"/>
      <c r="AC746" s="68"/>
      <c r="AD746" s="68"/>
      <c r="AE746" s="80"/>
      <c r="AF746" s="80"/>
      <c r="AG746" s="80"/>
      <c r="AH746" s="80"/>
      <c r="AI746" s="81" t="s">
        <v>540</v>
      </c>
      <c r="AJ746" s="81" t="s">
        <v>539</v>
      </c>
      <c r="AK746" s="81">
        <v>2003</v>
      </c>
      <c r="AL746" s="81" t="s">
        <v>543</v>
      </c>
      <c r="AM746" s="81"/>
    </row>
    <row r="747" spans="1:39" s="82" customFormat="1" x14ac:dyDescent="0.3">
      <c r="A747" s="67">
        <v>302</v>
      </c>
      <c r="B747" s="68"/>
      <c r="C747" s="68"/>
      <c r="D747" s="68">
        <v>0</v>
      </c>
      <c r="E747" s="68"/>
      <c r="F747" s="68">
        <v>3</v>
      </c>
      <c r="G747" s="69">
        <v>6</v>
      </c>
      <c r="H747" s="68">
        <v>0</v>
      </c>
      <c r="I747" s="69">
        <v>7.3487281542310772</v>
      </c>
      <c r="J747" s="69">
        <v>2.3341883159280967</v>
      </c>
      <c r="K747" s="70">
        <v>1</v>
      </c>
      <c r="L747" s="68">
        <v>98</v>
      </c>
      <c r="M747" s="71"/>
      <c r="N747" s="72">
        <v>6</v>
      </c>
      <c r="O747" s="84"/>
      <c r="P747" s="73"/>
      <c r="Q747" s="84">
        <v>1</v>
      </c>
      <c r="R747" s="74"/>
      <c r="S747" s="74"/>
      <c r="T747" s="75"/>
      <c r="U747" s="75"/>
      <c r="V747" s="76"/>
      <c r="W747" s="76"/>
      <c r="X747" s="77"/>
      <c r="Y747" s="78"/>
      <c r="Z747" s="79"/>
      <c r="AA747" s="69"/>
      <c r="AB747" s="68"/>
      <c r="AC747" s="68"/>
      <c r="AD747" s="68"/>
      <c r="AE747" s="80"/>
      <c r="AF747" s="80"/>
      <c r="AG747" s="80"/>
      <c r="AH747" s="80"/>
      <c r="AI747" s="81" t="s">
        <v>540</v>
      </c>
      <c r="AJ747" s="81" t="s">
        <v>539</v>
      </c>
      <c r="AK747" s="81">
        <v>2003</v>
      </c>
      <c r="AL747" s="81" t="s">
        <v>543</v>
      </c>
      <c r="AM747" s="81"/>
    </row>
    <row r="748" spans="1:39" s="82" customFormat="1" x14ac:dyDescent="0.3">
      <c r="A748" s="67">
        <v>302</v>
      </c>
      <c r="B748" s="68">
        <v>0</v>
      </c>
      <c r="C748" s="68"/>
      <c r="D748" s="68">
        <v>0</v>
      </c>
      <c r="E748" s="68"/>
      <c r="F748" s="68">
        <v>4</v>
      </c>
      <c r="G748" s="69">
        <v>6</v>
      </c>
      <c r="H748" s="68">
        <v>0</v>
      </c>
      <c r="I748" s="69">
        <v>7.3487281542310772</v>
      </c>
      <c r="J748" s="69">
        <v>2.3341883159280967</v>
      </c>
      <c r="K748" s="70">
        <v>1</v>
      </c>
      <c r="L748" s="68">
        <f>24*7</f>
        <v>168</v>
      </c>
      <c r="M748" s="71"/>
      <c r="N748" s="72"/>
      <c r="O748" s="84">
        <v>168</v>
      </c>
      <c r="P748" s="73">
        <f>269/302</f>
        <v>0.89072847682119205</v>
      </c>
      <c r="Q748" s="84">
        <v>1</v>
      </c>
      <c r="R748" s="74">
        <v>7.7347096202258374</v>
      </c>
      <c r="S748" s="74">
        <v>4.2627646237117309</v>
      </c>
      <c r="T748" s="75"/>
      <c r="U748" s="75"/>
      <c r="V748" s="76"/>
      <c r="W748" s="76"/>
      <c r="X748" s="77"/>
      <c r="Y748" s="78">
        <f>8/230</f>
        <v>3.4782608695652174E-2</v>
      </c>
      <c r="Z748" s="79"/>
      <c r="AA748" s="69"/>
      <c r="AB748" s="68"/>
      <c r="AC748" s="68"/>
      <c r="AD748" s="68"/>
      <c r="AE748" s="80"/>
      <c r="AF748" s="80"/>
      <c r="AG748" s="80"/>
      <c r="AH748" s="80"/>
      <c r="AI748" s="81" t="s">
        <v>540</v>
      </c>
      <c r="AJ748" s="81" t="s">
        <v>539</v>
      </c>
      <c r="AK748" s="81">
        <v>2003</v>
      </c>
      <c r="AL748" s="81" t="s">
        <v>543</v>
      </c>
      <c r="AM748" s="81"/>
    </row>
    <row r="749" spans="1:39" s="82" customFormat="1" x14ac:dyDescent="0.3">
      <c r="A749" s="67">
        <v>304</v>
      </c>
      <c r="B749" s="68"/>
      <c r="C749" s="68"/>
      <c r="D749" s="68">
        <v>0</v>
      </c>
      <c r="E749" s="68"/>
      <c r="F749" s="68">
        <v>0</v>
      </c>
      <c r="G749" s="69"/>
      <c r="H749" s="68">
        <v>0</v>
      </c>
      <c r="I749" s="69">
        <v>7.5849625007211561</v>
      </c>
      <c r="J749" s="69">
        <v>2.5142512839988544</v>
      </c>
      <c r="K749" s="70">
        <v>2</v>
      </c>
      <c r="L749" s="68">
        <v>0</v>
      </c>
      <c r="M749" s="71"/>
      <c r="N749" s="72">
        <v>5</v>
      </c>
      <c r="O749" s="84">
        <v>0</v>
      </c>
      <c r="P749" s="73">
        <f>297/304</f>
        <v>0.97697368421052633</v>
      </c>
      <c r="Q749" s="84">
        <v>1</v>
      </c>
      <c r="R749" s="74">
        <v>7.5849625007211561</v>
      </c>
      <c r="S749" s="74">
        <v>2.5142512839988544</v>
      </c>
      <c r="T749" s="75">
        <f>R750</f>
        <v>6.8073549220576037</v>
      </c>
      <c r="U749" s="75">
        <f>S750</f>
        <v>3.2371984252009423</v>
      </c>
      <c r="V749" s="76"/>
      <c r="W749" s="76">
        <f>P750</f>
        <v>0.94545454545454544</v>
      </c>
      <c r="X749" s="77">
        <f>O750</f>
        <v>42</v>
      </c>
      <c r="Y749" s="78"/>
      <c r="Z749" s="79"/>
      <c r="AA749" s="69"/>
      <c r="AB749" s="68"/>
      <c r="AC749" s="68"/>
      <c r="AD749" s="68"/>
      <c r="AE749" s="80"/>
      <c r="AF749" s="80"/>
      <c r="AG749" s="80"/>
      <c r="AH749" s="80"/>
      <c r="AI749" s="81" t="s">
        <v>542</v>
      </c>
      <c r="AJ749" s="81" t="s">
        <v>539</v>
      </c>
      <c r="AK749" s="81">
        <v>2003</v>
      </c>
      <c r="AL749" s="81" t="s">
        <v>543</v>
      </c>
      <c r="AM749" s="81"/>
    </row>
    <row r="750" spans="1:39" s="82" customFormat="1" x14ac:dyDescent="0.3">
      <c r="A750" s="67">
        <v>304</v>
      </c>
      <c r="B750" s="68"/>
      <c r="C750" s="68"/>
      <c r="D750" s="68">
        <v>0</v>
      </c>
      <c r="E750" s="68"/>
      <c r="F750" s="68">
        <v>1</v>
      </c>
      <c r="G750" s="69">
        <v>5</v>
      </c>
      <c r="H750" s="68">
        <v>0</v>
      </c>
      <c r="I750" s="69">
        <v>7.5849625007211561</v>
      </c>
      <c r="J750" s="69">
        <v>2.5142512839988544</v>
      </c>
      <c r="K750" s="70">
        <v>2</v>
      </c>
      <c r="L750" s="68">
        <v>42</v>
      </c>
      <c r="M750" s="71"/>
      <c r="N750" s="72">
        <v>5</v>
      </c>
      <c r="O750" s="84">
        <v>42</v>
      </c>
      <c r="P750" s="73">
        <f>260/275</f>
        <v>0.94545454545454544</v>
      </c>
      <c r="Q750" s="84">
        <v>1</v>
      </c>
      <c r="R750" s="74">
        <v>6.8073549220576037</v>
      </c>
      <c r="S750" s="74">
        <v>3.2371984252009423</v>
      </c>
      <c r="T750" s="75"/>
      <c r="U750" s="75"/>
      <c r="V750" s="76"/>
      <c r="W750" s="76"/>
      <c r="X750" s="77"/>
      <c r="Y750" s="78"/>
      <c r="Z750" s="79"/>
      <c r="AA750" s="69"/>
      <c r="AB750" s="68"/>
      <c r="AC750" s="68"/>
      <c r="AD750" s="68"/>
      <c r="AE750" s="80"/>
      <c r="AF750" s="80"/>
      <c r="AG750" s="80"/>
      <c r="AH750" s="80"/>
      <c r="AI750" s="81" t="s">
        <v>542</v>
      </c>
      <c r="AJ750" s="81" t="s">
        <v>539</v>
      </c>
      <c r="AK750" s="81">
        <v>2003</v>
      </c>
      <c r="AL750" s="81" t="s">
        <v>543</v>
      </c>
      <c r="AM750" s="81"/>
    </row>
    <row r="751" spans="1:39" s="82" customFormat="1" x14ac:dyDescent="0.3">
      <c r="A751" s="67">
        <v>304</v>
      </c>
      <c r="B751" s="68"/>
      <c r="C751" s="68"/>
      <c r="D751" s="68">
        <v>0</v>
      </c>
      <c r="E751" s="68"/>
      <c r="F751" s="68">
        <v>2</v>
      </c>
      <c r="G751" s="69">
        <v>5</v>
      </c>
      <c r="H751" s="68">
        <v>0</v>
      </c>
      <c r="I751" s="69">
        <v>7.5849625007211561</v>
      </c>
      <c r="J751" s="69">
        <v>2.5142512839988544</v>
      </c>
      <c r="K751" s="70">
        <v>2</v>
      </c>
      <c r="L751" s="68">
        <v>70</v>
      </c>
      <c r="M751" s="71"/>
      <c r="N751" s="72">
        <v>5</v>
      </c>
      <c r="O751" s="84"/>
      <c r="P751" s="73"/>
      <c r="Q751" s="84">
        <v>1</v>
      </c>
      <c r="R751" s="74"/>
      <c r="S751" s="74"/>
      <c r="T751" s="75"/>
      <c r="U751" s="75"/>
      <c r="V751" s="76"/>
      <c r="W751" s="76"/>
      <c r="X751" s="77"/>
      <c r="Y751" s="78"/>
      <c r="Z751" s="79"/>
      <c r="AA751" s="69"/>
      <c r="AB751" s="68"/>
      <c r="AC751" s="68"/>
      <c r="AD751" s="68"/>
      <c r="AE751" s="80"/>
      <c r="AF751" s="80"/>
      <c r="AG751" s="80"/>
      <c r="AH751" s="80"/>
      <c r="AI751" s="81" t="s">
        <v>542</v>
      </c>
      <c r="AJ751" s="81" t="s">
        <v>539</v>
      </c>
      <c r="AK751" s="81">
        <v>2003</v>
      </c>
      <c r="AL751" s="81" t="s">
        <v>543</v>
      </c>
      <c r="AM751" s="81"/>
    </row>
    <row r="752" spans="1:39" s="82" customFormat="1" x14ac:dyDescent="0.3">
      <c r="A752" s="67">
        <v>304</v>
      </c>
      <c r="B752" s="68"/>
      <c r="C752" s="68"/>
      <c r="D752" s="68">
        <v>0</v>
      </c>
      <c r="E752" s="68"/>
      <c r="F752" s="68">
        <v>3</v>
      </c>
      <c r="G752" s="69">
        <v>5</v>
      </c>
      <c r="H752" s="68">
        <v>0</v>
      </c>
      <c r="I752" s="69">
        <v>7.5849625007211561</v>
      </c>
      <c r="J752" s="69">
        <v>2.5142512839988544</v>
      </c>
      <c r="K752" s="70">
        <v>2</v>
      </c>
      <c r="L752" s="68">
        <v>98</v>
      </c>
      <c r="M752" s="71">
        <v>8</v>
      </c>
      <c r="N752" s="72">
        <v>5</v>
      </c>
      <c r="O752" s="84"/>
      <c r="P752" s="73"/>
      <c r="Q752" s="84">
        <v>1</v>
      </c>
      <c r="R752" s="74"/>
      <c r="S752" s="74"/>
      <c r="T752" s="75"/>
      <c r="U752" s="75"/>
      <c r="V752" s="76"/>
      <c r="W752" s="76"/>
      <c r="X752" s="77"/>
      <c r="Y752" s="78"/>
      <c r="Z752" s="79"/>
      <c r="AA752" s="69"/>
      <c r="AB752" s="68"/>
      <c r="AC752" s="68"/>
      <c r="AD752" s="68"/>
      <c r="AE752" s="80"/>
      <c r="AF752" s="80"/>
      <c r="AG752" s="80"/>
      <c r="AH752" s="80"/>
      <c r="AI752" s="81" t="s">
        <v>542</v>
      </c>
      <c r="AJ752" s="81" t="s">
        <v>539</v>
      </c>
      <c r="AK752" s="81">
        <v>2003</v>
      </c>
      <c r="AL752" s="81" t="s">
        <v>543</v>
      </c>
      <c r="AM752" s="81"/>
    </row>
    <row r="753" spans="1:39" s="82" customFormat="1" x14ac:dyDescent="0.3">
      <c r="A753" s="67">
        <v>304</v>
      </c>
      <c r="B753" s="68">
        <v>0</v>
      </c>
      <c r="C753" s="68">
        <v>1</v>
      </c>
      <c r="D753" s="68">
        <v>0</v>
      </c>
      <c r="E753" s="68">
        <v>8</v>
      </c>
      <c r="F753" s="68">
        <v>3</v>
      </c>
      <c r="G753" s="69">
        <v>5</v>
      </c>
      <c r="H753" s="68">
        <v>0</v>
      </c>
      <c r="I753" s="69">
        <v>7.5849625007211561</v>
      </c>
      <c r="J753" s="69">
        <v>2.5142512839988544</v>
      </c>
      <c r="K753" s="70">
        <v>2</v>
      </c>
      <c r="L753" s="68">
        <f>24*7</f>
        <v>168</v>
      </c>
      <c r="M753" s="71"/>
      <c r="N753" s="72"/>
      <c r="O753" s="84">
        <v>168</v>
      </c>
      <c r="P753" s="73">
        <f>298/304</f>
        <v>0.98026315789473684</v>
      </c>
      <c r="Q753" s="84">
        <v>1</v>
      </c>
      <c r="R753" s="74">
        <v>9.0028150156070534</v>
      </c>
      <c r="S753" s="74">
        <v>3.6617695334357694</v>
      </c>
      <c r="T753" s="75"/>
      <c r="U753" s="75"/>
      <c r="V753" s="76"/>
      <c r="W753" s="76"/>
      <c r="X753" s="77"/>
      <c r="Y753" s="78">
        <f>7/210</f>
        <v>3.3333333333333333E-2</v>
      </c>
      <c r="Z753" s="79"/>
      <c r="AA753" s="69"/>
      <c r="AB753" s="68"/>
      <c r="AC753" s="68"/>
      <c r="AD753" s="68"/>
      <c r="AE753" s="80"/>
      <c r="AF753" s="80"/>
      <c r="AG753" s="80"/>
      <c r="AH753" s="80"/>
      <c r="AI753" s="81" t="s">
        <v>542</v>
      </c>
      <c r="AJ753" s="81" t="s">
        <v>539</v>
      </c>
      <c r="AK753" s="81">
        <v>2003</v>
      </c>
      <c r="AL753" s="81" t="s">
        <v>543</v>
      </c>
      <c r="AM753" s="81"/>
    </row>
    <row r="754" spans="1:39" s="82" customFormat="1" x14ac:dyDescent="0.3">
      <c r="A754" s="67">
        <v>292</v>
      </c>
      <c r="B754" s="68"/>
      <c r="C754" s="68"/>
      <c r="D754" s="68">
        <v>0</v>
      </c>
      <c r="E754" s="68"/>
      <c r="F754" s="68">
        <v>0</v>
      </c>
      <c r="G754" s="69"/>
      <c r="H754" s="68">
        <v>0</v>
      </c>
      <c r="I754" s="69">
        <v>8.0056245491938789</v>
      </c>
      <c r="J754" s="69">
        <v>2.8421331505856431</v>
      </c>
      <c r="K754" s="70">
        <v>2</v>
      </c>
      <c r="L754" s="68">
        <v>0</v>
      </c>
      <c r="M754" s="71"/>
      <c r="N754" s="72">
        <v>5</v>
      </c>
      <c r="O754" s="84">
        <v>0</v>
      </c>
      <c r="P754" s="73">
        <f>291/292</f>
        <v>0.99657534246575341</v>
      </c>
      <c r="Q754" s="84">
        <v>1</v>
      </c>
      <c r="R754" s="74">
        <v>8.0056245491938789</v>
      </c>
      <c r="S754" s="74">
        <v>2.8421331505856431</v>
      </c>
      <c r="T754" s="75">
        <f>R755</f>
        <v>7.2094533656289501</v>
      </c>
      <c r="U754" s="75">
        <f>S755</f>
        <v>3.0389240006129348</v>
      </c>
      <c r="V754" s="76"/>
      <c r="W754" s="76">
        <f>P755</f>
        <v>0.93795620437956206</v>
      </c>
      <c r="X754" s="77">
        <f>O755</f>
        <v>42</v>
      </c>
      <c r="Y754" s="78"/>
      <c r="Z754" s="79"/>
      <c r="AA754" s="69"/>
      <c r="AB754" s="68"/>
      <c r="AC754" s="68"/>
      <c r="AD754" s="68"/>
      <c r="AE754" s="80"/>
      <c r="AF754" s="80"/>
      <c r="AG754" s="80"/>
      <c r="AH754" s="80"/>
      <c r="AI754" s="81" t="s">
        <v>541</v>
      </c>
      <c r="AJ754" s="81" t="s">
        <v>539</v>
      </c>
      <c r="AK754" s="81">
        <v>2003</v>
      </c>
      <c r="AL754" s="81" t="s">
        <v>543</v>
      </c>
      <c r="AM754" s="81"/>
    </row>
    <row r="755" spans="1:39" s="82" customFormat="1" x14ac:dyDescent="0.3">
      <c r="A755" s="67">
        <v>292</v>
      </c>
      <c r="B755" s="68"/>
      <c r="C755" s="68"/>
      <c r="D755" s="68">
        <v>0</v>
      </c>
      <c r="E755" s="68"/>
      <c r="F755" s="68">
        <v>1</v>
      </c>
      <c r="G755" s="69">
        <v>5</v>
      </c>
      <c r="H755" s="68">
        <v>0</v>
      </c>
      <c r="I755" s="69">
        <v>8.0056245491938789</v>
      </c>
      <c r="J755" s="69">
        <v>2.8421331505856431</v>
      </c>
      <c r="K755" s="70">
        <v>2</v>
      </c>
      <c r="L755" s="68">
        <v>42</v>
      </c>
      <c r="M755" s="71">
        <v>8</v>
      </c>
      <c r="N755" s="72">
        <v>5</v>
      </c>
      <c r="O755" s="84">
        <v>42</v>
      </c>
      <c r="P755" s="73">
        <f>257/274</f>
        <v>0.93795620437956206</v>
      </c>
      <c r="Q755" s="84">
        <v>1</v>
      </c>
      <c r="R755" s="74">
        <v>7.2094533656289501</v>
      </c>
      <c r="S755" s="74">
        <v>3.0389240006129348</v>
      </c>
      <c r="T755" s="75"/>
      <c r="U755" s="75"/>
      <c r="V755" s="76"/>
      <c r="W755" s="76"/>
      <c r="X755" s="77"/>
      <c r="Y755" s="78"/>
      <c r="Z755" s="79"/>
      <c r="AA755" s="69"/>
      <c r="AB755" s="68"/>
      <c r="AC755" s="68"/>
      <c r="AD755" s="68"/>
      <c r="AE755" s="80"/>
      <c r="AF755" s="80"/>
      <c r="AG755" s="80"/>
      <c r="AH755" s="80"/>
      <c r="AI755" s="81" t="s">
        <v>541</v>
      </c>
      <c r="AJ755" s="81" t="s">
        <v>539</v>
      </c>
      <c r="AK755" s="81">
        <v>2003</v>
      </c>
      <c r="AL755" s="81" t="s">
        <v>543</v>
      </c>
      <c r="AM755" s="81"/>
    </row>
    <row r="756" spans="1:39" s="82" customFormat="1" x14ac:dyDescent="0.3">
      <c r="A756" s="67">
        <v>292</v>
      </c>
      <c r="B756" s="68"/>
      <c r="C756" s="68">
        <v>1</v>
      </c>
      <c r="D756" s="68">
        <v>0</v>
      </c>
      <c r="E756" s="68">
        <v>8</v>
      </c>
      <c r="F756" s="68">
        <v>1</v>
      </c>
      <c r="G756" s="69">
        <v>5</v>
      </c>
      <c r="H756" s="68">
        <v>0</v>
      </c>
      <c r="I756" s="69">
        <v>8.0056245491938789</v>
      </c>
      <c r="J756" s="69">
        <v>2.8421331505856431</v>
      </c>
      <c r="K756" s="70">
        <v>2</v>
      </c>
      <c r="L756" s="68">
        <v>70</v>
      </c>
      <c r="M756" s="71">
        <v>8</v>
      </c>
      <c r="N756" s="72">
        <v>5</v>
      </c>
      <c r="O756" s="84"/>
      <c r="P756" s="73"/>
      <c r="Q756" s="84">
        <v>1</v>
      </c>
      <c r="R756" s="74"/>
      <c r="S756" s="74"/>
      <c r="T756" s="75"/>
      <c r="U756" s="75"/>
      <c r="V756" s="76"/>
      <c r="W756" s="76"/>
      <c r="X756" s="77"/>
      <c r="Y756" s="78"/>
      <c r="Z756" s="79"/>
      <c r="AA756" s="69"/>
      <c r="AB756" s="68"/>
      <c r="AC756" s="68"/>
      <c r="AD756" s="68"/>
      <c r="AE756" s="80"/>
      <c r="AF756" s="80"/>
      <c r="AG756" s="80"/>
      <c r="AH756" s="80"/>
      <c r="AI756" s="81" t="s">
        <v>541</v>
      </c>
      <c r="AJ756" s="81" t="s">
        <v>539</v>
      </c>
      <c r="AK756" s="81">
        <v>2003</v>
      </c>
      <c r="AL756" s="81" t="s">
        <v>543</v>
      </c>
      <c r="AM756" s="81"/>
    </row>
    <row r="757" spans="1:39" s="82" customFormat="1" x14ac:dyDescent="0.3">
      <c r="A757" s="67">
        <v>292</v>
      </c>
      <c r="B757" s="68"/>
      <c r="C757" s="68">
        <v>2</v>
      </c>
      <c r="D757" s="68">
        <v>0</v>
      </c>
      <c r="E757" s="68">
        <v>8</v>
      </c>
      <c r="F757" s="68">
        <v>1</v>
      </c>
      <c r="G757" s="69">
        <v>5</v>
      </c>
      <c r="H757" s="68">
        <v>0</v>
      </c>
      <c r="I757" s="69">
        <v>8.0056245491938789</v>
      </c>
      <c r="J757" s="69">
        <v>2.8421331505856431</v>
      </c>
      <c r="K757" s="70">
        <v>2</v>
      </c>
      <c r="L757" s="68">
        <v>98</v>
      </c>
      <c r="M757" s="71">
        <v>8</v>
      </c>
      <c r="N757" s="72">
        <v>5</v>
      </c>
      <c r="O757" s="84"/>
      <c r="P757" s="73"/>
      <c r="Q757" s="84">
        <v>1</v>
      </c>
      <c r="R757" s="74"/>
      <c r="S757" s="74"/>
      <c r="T757" s="75"/>
      <c r="U757" s="75"/>
      <c r="V757" s="76"/>
      <c r="W757" s="76"/>
      <c r="X757" s="77"/>
      <c r="Y757" s="78"/>
      <c r="Z757" s="79"/>
      <c r="AA757" s="69"/>
      <c r="AB757" s="68"/>
      <c r="AC757" s="68"/>
      <c r="AD757" s="68"/>
      <c r="AE757" s="80"/>
      <c r="AF757" s="80"/>
      <c r="AG757" s="80"/>
      <c r="AH757" s="80"/>
      <c r="AI757" s="81" t="s">
        <v>541</v>
      </c>
      <c r="AJ757" s="81" t="s">
        <v>539</v>
      </c>
      <c r="AK757" s="81">
        <v>2003</v>
      </c>
      <c r="AL757" s="81" t="s">
        <v>543</v>
      </c>
      <c r="AM757" s="81"/>
    </row>
    <row r="758" spans="1:39" s="82" customFormat="1" x14ac:dyDescent="0.3">
      <c r="A758" s="67">
        <v>292</v>
      </c>
      <c r="B758" s="68">
        <v>0</v>
      </c>
      <c r="C758" s="68">
        <v>3</v>
      </c>
      <c r="D758" s="68">
        <v>0</v>
      </c>
      <c r="E758" s="68">
        <v>8</v>
      </c>
      <c r="F758" s="68">
        <v>1</v>
      </c>
      <c r="G758" s="69">
        <v>5</v>
      </c>
      <c r="H758" s="68">
        <v>0</v>
      </c>
      <c r="I758" s="69">
        <v>8.0056245491938789</v>
      </c>
      <c r="J758" s="69">
        <v>2.8421331505856431</v>
      </c>
      <c r="K758" s="70">
        <v>2</v>
      </c>
      <c r="L758" s="68">
        <f>24*7</f>
        <v>168</v>
      </c>
      <c r="M758" s="71"/>
      <c r="N758" s="72"/>
      <c r="O758" s="84">
        <v>168</v>
      </c>
      <c r="P758" s="73">
        <f>288.292</f>
        <v>288.29199999999997</v>
      </c>
      <c r="Q758" s="84">
        <v>1</v>
      </c>
      <c r="R758" s="74">
        <v>9.6759570329417492</v>
      </c>
      <c r="S758" s="74">
        <v>3.7479379947384892</v>
      </c>
      <c r="T758" s="75"/>
      <c r="U758" s="75"/>
      <c r="V758" s="76"/>
      <c r="W758" s="76"/>
      <c r="X758" s="77"/>
      <c r="Y758" s="78">
        <f>1/208</f>
        <v>4.807692307692308E-3</v>
      </c>
      <c r="Z758" s="79"/>
      <c r="AA758" s="69"/>
      <c r="AB758" s="68"/>
      <c r="AC758" s="68"/>
      <c r="AD758" s="68"/>
      <c r="AE758" s="80"/>
      <c r="AF758" s="80"/>
      <c r="AG758" s="80"/>
      <c r="AH758" s="80"/>
      <c r="AI758" s="81" t="s">
        <v>541</v>
      </c>
      <c r="AJ758" s="81" t="s">
        <v>539</v>
      </c>
      <c r="AK758" s="81">
        <v>2003</v>
      </c>
      <c r="AL758" s="81" t="s">
        <v>543</v>
      </c>
      <c r="AM758" s="81"/>
    </row>
    <row r="759" spans="1:39" s="82" customFormat="1" x14ac:dyDescent="0.3">
      <c r="A759" s="67">
        <v>302</v>
      </c>
      <c r="B759" s="68"/>
      <c r="C759" s="68"/>
      <c r="D759" s="68">
        <v>0</v>
      </c>
      <c r="E759" s="68"/>
      <c r="F759" s="68">
        <v>0</v>
      </c>
      <c r="G759" s="69"/>
      <c r="H759" s="68">
        <v>0</v>
      </c>
      <c r="I759" s="69">
        <v>7.8579809951275728</v>
      </c>
      <c r="J759" s="69">
        <v>2.7995743842554797</v>
      </c>
      <c r="K759" s="70">
        <v>2</v>
      </c>
      <c r="L759" s="68">
        <v>0</v>
      </c>
      <c r="M759" s="71"/>
      <c r="N759" s="72">
        <v>5</v>
      </c>
      <c r="O759" s="84">
        <v>0</v>
      </c>
      <c r="P759" s="73">
        <v>1</v>
      </c>
      <c r="Q759" s="84">
        <v>1</v>
      </c>
      <c r="R759" s="74">
        <v>7.8579809951275728</v>
      </c>
      <c r="S759" s="74">
        <v>2.7995743842554797</v>
      </c>
      <c r="T759" s="75">
        <f>R760</f>
        <v>7.1996723448363644</v>
      </c>
      <c r="U759" s="75">
        <f>S760</f>
        <v>3.585666187428568</v>
      </c>
      <c r="V759" s="76"/>
      <c r="W759" s="76">
        <f>P760</f>
        <v>0.94163424124513617</v>
      </c>
      <c r="X759" s="77">
        <f>O760</f>
        <v>42</v>
      </c>
      <c r="Y759" s="78"/>
      <c r="Z759" s="79"/>
      <c r="AA759" s="69"/>
      <c r="AB759" s="68"/>
      <c r="AC759" s="68"/>
      <c r="AD759" s="68"/>
      <c r="AE759" s="80"/>
      <c r="AF759" s="80"/>
      <c r="AG759" s="80"/>
      <c r="AH759" s="80"/>
      <c r="AI759" s="81" t="s">
        <v>540</v>
      </c>
      <c r="AJ759" s="81" t="s">
        <v>539</v>
      </c>
      <c r="AK759" s="81">
        <v>2003</v>
      </c>
      <c r="AL759" s="81" t="s">
        <v>543</v>
      </c>
      <c r="AM759" s="81"/>
    </row>
    <row r="760" spans="1:39" s="82" customFormat="1" x14ac:dyDescent="0.3">
      <c r="A760" s="67">
        <v>302</v>
      </c>
      <c r="B760" s="68"/>
      <c r="C760" s="68"/>
      <c r="D760" s="68">
        <v>0</v>
      </c>
      <c r="E760" s="68"/>
      <c r="F760" s="68">
        <v>1</v>
      </c>
      <c r="G760" s="69">
        <v>5</v>
      </c>
      <c r="H760" s="68">
        <v>0</v>
      </c>
      <c r="I760" s="69">
        <v>7.8579809951275728</v>
      </c>
      <c r="J760" s="69">
        <v>2.7995743842554797</v>
      </c>
      <c r="K760" s="70">
        <v>2</v>
      </c>
      <c r="L760" s="68">
        <v>42</v>
      </c>
      <c r="M760" s="71"/>
      <c r="N760" s="72">
        <v>5</v>
      </c>
      <c r="O760" s="84">
        <v>42</v>
      </c>
      <c r="P760" s="73">
        <f>242/257</f>
        <v>0.94163424124513617</v>
      </c>
      <c r="Q760" s="84">
        <v>1</v>
      </c>
      <c r="R760" s="74">
        <v>7.1996723448363644</v>
      </c>
      <c r="S760" s="74">
        <v>3.585666187428568</v>
      </c>
      <c r="T760" s="75"/>
      <c r="U760" s="75"/>
      <c r="V760" s="76"/>
      <c r="W760" s="76"/>
      <c r="X760" s="77"/>
      <c r="Y760" s="78"/>
      <c r="Z760" s="79"/>
      <c r="AA760" s="69"/>
      <c r="AB760" s="68"/>
      <c r="AC760" s="68"/>
      <c r="AD760" s="68"/>
      <c r="AE760" s="80"/>
      <c r="AF760" s="80"/>
      <c r="AG760" s="80"/>
      <c r="AH760" s="80"/>
      <c r="AI760" s="81" t="s">
        <v>540</v>
      </c>
      <c r="AJ760" s="81" t="s">
        <v>539</v>
      </c>
      <c r="AK760" s="81">
        <v>2003</v>
      </c>
      <c r="AL760" s="81" t="s">
        <v>543</v>
      </c>
      <c r="AM760" s="81"/>
    </row>
    <row r="761" spans="1:39" s="82" customFormat="1" x14ac:dyDescent="0.3">
      <c r="A761" s="67">
        <v>302</v>
      </c>
      <c r="B761" s="68"/>
      <c r="C761" s="68"/>
      <c r="D761" s="68">
        <v>0</v>
      </c>
      <c r="E761" s="68"/>
      <c r="F761" s="68">
        <v>2</v>
      </c>
      <c r="G761" s="69">
        <v>5</v>
      </c>
      <c r="H761" s="68">
        <v>0</v>
      </c>
      <c r="I761" s="69">
        <v>7.8579809951275728</v>
      </c>
      <c r="J761" s="69">
        <v>2.7995743842554797</v>
      </c>
      <c r="K761" s="70">
        <v>2</v>
      </c>
      <c r="L761" s="68">
        <v>70</v>
      </c>
      <c r="M761" s="71"/>
      <c r="N761" s="72">
        <v>5</v>
      </c>
      <c r="O761" s="84"/>
      <c r="P761" s="73"/>
      <c r="Q761" s="84">
        <v>1</v>
      </c>
      <c r="R761" s="74"/>
      <c r="S761" s="74"/>
      <c r="T761" s="75"/>
      <c r="U761" s="75"/>
      <c r="V761" s="76"/>
      <c r="W761" s="76"/>
      <c r="X761" s="77"/>
      <c r="Y761" s="78"/>
      <c r="Z761" s="79"/>
      <c r="AA761" s="69"/>
      <c r="AB761" s="68"/>
      <c r="AC761" s="68"/>
      <c r="AD761" s="68"/>
      <c r="AE761" s="80"/>
      <c r="AF761" s="80"/>
      <c r="AG761" s="80"/>
      <c r="AH761" s="80"/>
      <c r="AI761" s="81" t="s">
        <v>540</v>
      </c>
      <c r="AJ761" s="81" t="s">
        <v>539</v>
      </c>
      <c r="AK761" s="81">
        <v>2003</v>
      </c>
      <c r="AL761" s="81" t="s">
        <v>543</v>
      </c>
      <c r="AM761" s="81"/>
    </row>
    <row r="762" spans="1:39" s="82" customFormat="1" x14ac:dyDescent="0.3">
      <c r="A762" s="67">
        <v>302</v>
      </c>
      <c r="B762" s="68"/>
      <c r="C762" s="68"/>
      <c r="D762" s="68">
        <v>0</v>
      </c>
      <c r="E762" s="68"/>
      <c r="F762" s="68">
        <v>3</v>
      </c>
      <c r="G762" s="69">
        <v>5</v>
      </c>
      <c r="H762" s="68">
        <v>0</v>
      </c>
      <c r="I762" s="69">
        <v>7.8579809951275728</v>
      </c>
      <c r="J762" s="69">
        <v>2.7995743842554797</v>
      </c>
      <c r="K762" s="70">
        <v>2</v>
      </c>
      <c r="L762" s="68">
        <v>98</v>
      </c>
      <c r="M762" s="71"/>
      <c r="N762" s="72">
        <v>5</v>
      </c>
      <c r="O762" s="84"/>
      <c r="P762" s="73"/>
      <c r="Q762" s="84">
        <v>1</v>
      </c>
      <c r="R762" s="74"/>
      <c r="S762" s="74"/>
      <c r="T762" s="75"/>
      <c r="U762" s="75"/>
      <c r="V762" s="76"/>
      <c r="W762" s="76"/>
      <c r="X762" s="77"/>
      <c r="Y762" s="78"/>
      <c r="Z762" s="79"/>
      <c r="AA762" s="69"/>
      <c r="AB762" s="68"/>
      <c r="AC762" s="68"/>
      <c r="AD762" s="68"/>
      <c r="AE762" s="80"/>
      <c r="AF762" s="80"/>
      <c r="AG762" s="80"/>
      <c r="AH762" s="80"/>
      <c r="AI762" s="81" t="s">
        <v>540</v>
      </c>
      <c r="AJ762" s="81" t="s">
        <v>539</v>
      </c>
      <c r="AK762" s="81">
        <v>2003</v>
      </c>
      <c r="AL762" s="81" t="s">
        <v>543</v>
      </c>
      <c r="AM762" s="81"/>
    </row>
    <row r="763" spans="1:39" s="82" customFormat="1" x14ac:dyDescent="0.3">
      <c r="A763" s="67">
        <v>302</v>
      </c>
      <c r="B763" s="68">
        <v>0</v>
      </c>
      <c r="C763" s="68"/>
      <c r="D763" s="68">
        <v>0</v>
      </c>
      <c r="E763" s="68"/>
      <c r="F763" s="68">
        <v>4</v>
      </c>
      <c r="G763" s="69">
        <v>5</v>
      </c>
      <c r="H763" s="68">
        <v>0</v>
      </c>
      <c r="I763" s="69">
        <v>7.8579809951275728</v>
      </c>
      <c r="J763" s="69">
        <v>2.7995743842554797</v>
      </c>
      <c r="K763" s="70">
        <v>2</v>
      </c>
      <c r="L763" s="68">
        <f>24*7</f>
        <v>168</v>
      </c>
      <c r="M763" s="71"/>
      <c r="N763" s="72"/>
      <c r="O763" s="84">
        <v>168</v>
      </c>
      <c r="P763" s="73">
        <f>291/302</f>
        <v>0.96357615894039739</v>
      </c>
      <c r="Q763" s="84">
        <v>1</v>
      </c>
      <c r="R763" s="74">
        <v>8.7813597135246599</v>
      </c>
      <c r="S763" s="74">
        <v>4.0459197238195435</v>
      </c>
      <c r="T763" s="75"/>
      <c r="U763" s="75"/>
      <c r="V763" s="76"/>
      <c r="W763" s="76"/>
      <c r="X763" s="77"/>
      <c r="Y763" s="78">
        <f>2/230</f>
        <v>8.6956521739130436E-3</v>
      </c>
      <c r="Z763" s="79"/>
      <c r="AA763" s="69"/>
      <c r="AB763" s="68"/>
      <c r="AC763" s="68"/>
      <c r="AD763" s="68"/>
      <c r="AE763" s="80"/>
      <c r="AF763" s="80"/>
      <c r="AG763" s="80"/>
      <c r="AH763" s="80"/>
      <c r="AI763" s="81" t="s">
        <v>540</v>
      </c>
      <c r="AJ763" s="81" t="s">
        <v>539</v>
      </c>
      <c r="AK763" s="81">
        <v>2003</v>
      </c>
      <c r="AL763" s="81" t="s">
        <v>543</v>
      </c>
      <c r="AM763" s="81"/>
    </row>
    <row r="764" spans="1:39" s="82" customFormat="1" x14ac:dyDescent="0.3">
      <c r="A764" s="67">
        <v>304</v>
      </c>
      <c r="B764" s="68"/>
      <c r="C764" s="68"/>
      <c r="D764" s="68">
        <v>0</v>
      </c>
      <c r="E764" s="68"/>
      <c r="F764" s="68">
        <v>0</v>
      </c>
      <c r="G764" s="69"/>
      <c r="H764" s="68">
        <v>0</v>
      </c>
      <c r="I764" s="69">
        <v>6.7142455176661233</v>
      </c>
      <c r="J764" s="69">
        <v>2.4366158581620971</v>
      </c>
      <c r="K764" s="70">
        <v>3</v>
      </c>
      <c r="L764" s="68">
        <v>0</v>
      </c>
      <c r="M764" s="71"/>
      <c r="N764" s="72">
        <v>5.8</v>
      </c>
      <c r="O764" s="84">
        <v>0</v>
      </c>
      <c r="P764" s="73">
        <f>296/304</f>
        <v>0.97368421052631582</v>
      </c>
      <c r="Q764" s="84">
        <v>1</v>
      </c>
      <c r="R764" s="74">
        <v>6.7142455176661233</v>
      </c>
      <c r="S764" s="74">
        <v>2.4366158581620971</v>
      </c>
      <c r="T764" s="75">
        <f>R765</f>
        <v>6</v>
      </c>
      <c r="U764" s="75">
        <f>S765</f>
        <v>3.18887943802314</v>
      </c>
      <c r="V764" s="76"/>
      <c r="W764" s="76">
        <f>P765</f>
        <v>0.68</v>
      </c>
      <c r="X764" s="77">
        <f>O765</f>
        <v>42</v>
      </c>
      <c r="Y764" s="78"/>
      <c r="Z764" s="79"/>
      <c r="AA764" s="69"/>
      <c r="AB764" s="68"/>
      <c r="AC764" s="68"/>
      <c r="AD764" s="68"/>
      <c r="AE764" s="80"/>
      <c r="AF764" s="80"/>
      <c r="AG764" s="80"/>
      <c r="AH764" s="80"/>
      <c r="AI764" s="81" t="s">
        <v>542</v>
      </c>
      <c r="AJ764" s="81" t="s">
        <v>539</v>
      </c>
      <c r="AK764" s="81">
        <v>2003</v>
      </c>
      <c r="AL764" s="81" t="s">
        <v>543</v>
      </c>
      <c r="AM764" s="81"/>
    </row>
    <row r="765" spans="1:39" s="82" customFormat="1" x14ac:dyDescent="0.3">
      <c r="A765" s="67">
        <v>304</v>
      </c>
      <c r="B765" s="68"/>
      <c r="C765" s="68"/>
      <c r="D765" s="68">
        <v>0</v>
      </c>
      <c r="E765" s="68"/>
      <c r="F765" s="68">
        <v>1</v>
      </c>
      <c r="G765" s="69">
        <v>5.8</v>
      </c>
      <c r="H765" s="68">
        <v>0</v>
      </c>
      <c r="I765" s="69">
        <v>6.7142455176661233</v>
      </c>
      <c r="J765" s="69">
        <v>2.4366158581620971</v>
      </c>
      <c r="K765" s="70">
        <v>3</v>
      </c>
      <c r="L765" s="68">
        <v>42</v>
      </c>
      <c r="M765" s="71"/>
      <c r="N765" s="72">
        <v>5.8</v>
      </c>
      <c r="O765" s="84">
        <v>42</v>
      </c>
      <c r="P765" s="73">
        <f>187/275</f>
        <v>0.68</v>
      </c>
      <c r="Q765" s="84">
        <v>1</v>
      </c>
      <c r="R765" s="74">
        <v>6</v>
      </c>
      <c r="S765" s="74">
        <v>3.18887943802314</v>
      </c>
      <c r="T765" s="75"/>
      <c r="U765" s="75"/>
      <c r="V765" s="76"/>
      <c r="W765" s="76"/>
      <c r="X765" s="77"/>
      <c r="Y765" s="78"/>
      <c r="Z765" s="79"/>
      <c r="AA765" s="69"/>
      <c r="AB765" s="68"/>
      <c r="AC765" s="68"/>
      <c r="AD765" s="68"/>
      <c r="AE765" s="80"/>
      <c r="AF765" s="80"/>
      <c r="AG765" s="80"/>
      <c r="AH765" s="80"/>
      <c r="AI765" s="81" t="s">
        <v>542</v>
      </c>
      <c r="AJ765" s="81" t="s">
        <v>539</v>
      </c>
      <c r="AK765" s="81">
        <v>2003</v>
      </c>
      <c r="AL765" s="81" t="s">
        <v>543</v>
      </c>
      <c r="AM765" s="81"/>
    </row>
    <row r="766" spans="1:39" s="82" customFormat="1" x14ac:dyDescent="0.3">
      <c r="A766" s="67">
        <v>304</v>
      </c>
      <c r="B766" s="68"/>
      <c r="C766" s="68"/>
      <c r="D766" s="68">
        <v>0</v>
      </c>
      <c r="E766" s="68"/>
      <c r="F766" s="68">
        <v>2</v>
      </c>
      <c r="G766" s="69">
        <v>5.8</v>
      </c>
      <c r="H766" s="68">
        <v>0</v>
      </c>
      <c r="I766" s="69">
        <v>6.7142455176661233</v>
      </c>
      <c r="J766" s="69">
        <v>2.4366158581620971</v>
      </c>
      <c r="K766" s="70">
        <v>3</v>
      </c>
      <c r="L766" s="68">
        <v>70</v>
      </c>
      <c r="M766" s="71"/>
      <c r="N766" s="72">
        <v>5.8</v>
      </c>
      <c r="O766" s="84"/>
      <c r="P766" s="73"/>
      <c r="Q766" s="84">
        <v>1</v>
      </c>
      <c r="R766" s="74"/>
      <c r="S766" s="74"/>
      <c r="T766" s="75"/>
      <c r="U766" s="75"/>
      <c r="V766" s="76"/>
      <c r="W766" s="76"/>
      <c r="X766" s="77"/>
      <c r="Y766" s="78"/>
      <c r="Z766" s="79"/>
      <c r="AA766" s="69"/>
      <c r="AB766" s="68"/>
      <c r="AC766" s="68"/>
      <c r="AD766" s="68"/>
      <c r="AE766" s="80"/>
      <c r="AF766" s="80"/>
      <c r="AG766" s="80"/>
      <c r="AH766" s="80"/>
      <c r="AI766" s="81" t="s">
        <v>542</v>
      </c>
      <c r="AJ766" s="81" t="s">
        <v>539</v>
      </c>
      <c r="AK766" s="81">
        <v>2003</v>
      </c>
      <c r="AL766" s="81" t="s">
        <v>543</v>
      </c>
      <c r="AM766" s="81"/>
    </row>
    <row r="767" spans="1:39" s="82" customFormat="1" x14ac:dyDescent="0.3">
      <c r="A767" s="67">
        <v>304</v>
      </c>
      <c r="B767" s="68"/>
      <c r="C767" s="68"/>
      <c r="D767" s="68">
        <v>0</v>
      </c>
      <c r="E767" s="68"/>
      <c r="F767" s="68">
        <v>3</v>
      </c>
      <c r="G767" s="69">
        <v>5.8</v>
      </c>
      <c r="H767" s="68">
        <v>0</v>
      </c>
      <c r="I767" s="69">
        <v>6.7142455176661233</v>
      </c>
      <c r="J767" s="69">
        <v>2.4366158581620971</v>
      </c>
      <c r="K767" s="70">
        <v>3</v>
      </c>
      <c r="L767" s="68">
        <v>98</v>
      </c>
      <c r="M767" s="71">
        <v>32</v>
      </c>
      <c r="N767" s="72">
        <v>5.8</v>
      </c>
      <c r="O767" s="84"/>
      <c r="P767" s="73"/>
      <c r="Q767" s="84">
        <v>1</v>
      </c>
      <c r="R767" s="74"/>
      <c r="S767" s="74"/>
      <c r="T767" s="75"/>
      <c r="U767" s="75"/>
      <c r="V767" s="76"/>
      <c r="W767" s="76"/>
      <c r="X767" s="77"/>
      <c r="Y767" s="78"/>
      <c r="Z767" s="79"/>
      <c r="AA767" s="69"/>
      <c r="AB767" s="68"/>
      <c r="AC767" s="68"/>
      <c r="AD767" s="68"/>
      <c r="AE767" s="80"/>
      <c r="AF767" s="80"/>
      <c r="AG767" s="80"/>
      <c r="AH767" s="80"/>
      <c r="AI767" s="81" t="s">
        <v>542</v>
      </c>
      <c r="AJ767" s="81" t="s">
        <v>539</v>
      </c>
      <c r="AK767" s="81">
        <v>2003</v>
      </c>
      <c r="AL767" s="81" t="s">
        <v>543</v>
      </c>
      <c r="AM767" s="81"/>
    </row>
    <row r="768" spans="1:39" s="82" customFormat="1" x14ac:dyDescent="0.3">
      <c r="A768" s="67">
        <v>304</v>
      </c>
      <c r="B768" s="68">
        <v>213</v>
      </c>
      <c r="C768" s="68">
        <v>1</v>
      </c>
      <c r="D768" s="68">
        <v>0</v>
      </c>
      <c r="E768" s="68">
        <v>32</v>
      </c>
      <c r="F768" s="68">
        <v>3</v>
      </c>
      <c r="G768" s="69">
        <v>5.8</v>
      </c>
      <c r="H768" s="68">
        <v>0</v>
      </c>
      <c r="I768" s="69">
        <v>6.7142455176661233</v>
      </c>
      <c r="J768" s="69">
        <v>2.4366158581620971</v>
      </c>
      <c r="K768" s="70">
        <v>3</v>
      </c>
      <c r="L768" s="68">
        <f>24*7</f>
        <v>168</v>
      </c>
      <c r="M768" s="71"/>
      <c r="N768" s="72">
        <v>5.8</v>
      </c>
      <c r="O768" s="84">
        <v>168</v>
      </c>
      <c r="P768" s="73">
        <f>289/304</f>
        <v>0.95065789473684215</v>
      </c>
      <c r="Q768" s="84">
        <v>1</v>
      </c>
      <c r="R768" s="74">
        <v>8.4262647547020979</v>
      </c>
      <c r="S768" s="74">
        <v>3.0349034068410985</v>
      </c>
      <c r="T768" s="75"/>
      <c r="U768" s="75"/>
      <c r="V768" s="76"/>
      <c r="W768" s="76"/>
      <c r="X768" s="77"/>
      <c r="Y768" s="78">
        <f>18/213</f>
        <v>8.4507042253521125E-2</v>
      </c>
      <c r="Z768" s="79"/>
      <c r="AA768" s="69"/>
      <c r="AB768" s="68"/>
      <c r="AC768" s="68"/>
      <c r="AD768" s="68"/>
      <c r="AE768" s="80"/>
      <c r="AF768" s="80"/>
      <c r="AG768" s="80"/>
      <c r="AH768" s="80"/>
      <c r="AI768" s="81" t="s">
        <v>542</v>
      </c>
      <c r="AJ768" s="81" t="s">
        <v>539</v>
      </c>
      <c r="AK768" s="81">
        <v>2003</v>
      </c>
      <c r="AL768" s="81" t="s">
        <v>543</v>
      </c>
      <c r="AM768" s="81"/>
    </row>
    <row r="769" spans="1:39" s="82" customFormat="1" x14ac:dyDescent="0.3">
      <c r="A769" s="67">
        <v>292</v>
      </c>
      <c r="B769" s="68"/>
      <c r="C769" s="68"/>
      <c r="D769" s="68">
        <v>0</v>
      </c>
      <c r="E769" s="68"/>
      <c r="F769" s="68">
        <v>0</v>
      </c>
      <c r="G769" s="69"/>
      <c r="H769" s="68">
        <v>0</v>
      </c>
      <c r="I769" s="69">
        <v>7.0443941193584543</v>
      </c>
      <c r="J769" s="69">
        <v>2.568487813661271</v>
      </c>
      <c r="K769" s="70">
        <v>3</v>
      </c>
      <c r="L769" s="68">
        <v>0</v>
      </c>
      <c r="M769" s="71"/>
      <c r="N769" s="72">
        <v>5.8</v>
      </c>
      <c r="O769" s="84">
        <v>0</v>
      </c>
      <c r="P769" s="73">
        <f>287/292</f>
        <v>0.98287671232876717</v>
      </c>
      <c r="Q769" s="84">
        <v>1</v>
      </c>
      <c r="R769" s="74">
        <v>7.0443941193584543</v>
      </c>
      <c r="S769" s="74">
        <v>2.568487813661271</v>
      </c>
      <c r="T769" s="75">
        <f>R770</f>
        <v>6.0443941193584534</v>
      </c>
      <c r="U769" s="75">
        <f>S770</f>
        <v>3.6232586968486551</v>
      </c>
      <c r="V769" s="76"/>
      <c r="W769" s="76">
        <f>P770</f>
        <v>0.74452554744525545</v>
      </c>
      <c r="X769" s="77">
        <f>O770</f>
        <v>42</v>
      </c>
      <c r="Y769" s="78"/>
      <c r="Z769" s="79"/>
      <c r="AA769" s="69"/>
      <c r="AB769" s="68"/>
      <c r="AC769" s="68"/>
      <c r="AD769" s="68"/>
      <c r="AE769" s="80"/>
      <c r="AF769" s="80"/>
      <c r="AG769" s="80"/>
      <c r="AH769" s="80"/>
      <c r="AI769" s="81" t="s">
        <v>541</v>
      </c>
      <c r="AJ769" s="81" t="s">
        <v>539</v>
      </c>
      <c r="AK769" s="81">
        <v>2003</v>
      </c>
      <c r="AL769" s="81" t="s">
        <v>543</v>
      </c>
      <c r="AM769" s="81"/>
    </row>
    <row r="770" spans="1:39" s="82" customFormat="1" x14ac:dyDescent="0.3">
      <c r="A770" s="67">
        <v>292</v>
      </c>
      <c r="B770" s="68"/>
      <c r="C770" s="68"/>
      <c r="D770" s="68">
        <v>0</v>
      </c>
      <c r="E770" s="68"/>
      <c r="F770" s="68">
        <v>1</v>
      </c>
      <c r="G770" s="69">
        <v>5.8</v>
      </c>
      <c r="H770" s="68">
        <v>0</v>
      </c>
      <c r="I770" s="69">
        <v>7.0443941193584543</v>
      </c>
      <c r="J770" s="69">
        <v>2.568487813661271</v>
      </c>
      <c r="K770" s="70">
        <v>3</v>
      </c>
      <c r="L770" s="68">
        <v>42</v>
      </c>
      <c r="M770" s="71">
        <v>32</v>
      </c>
      <c r="N770" s="72">
        <v>5.8</v>
      </c>
      <c r="O770" s="84">
        <v>42</v>
      </c>
      <c r="P770" s="73">
        <f>204/274</f>
        <v>0.74452554744525545</v>
      </c>
      <c r="Q770" s="84">
        <v>1</v>
      </c>
      <c r="R770" s="74">
        <v>6.0443941193584534</v>
      </c>
      <c r="S770" s="74">
        <v>3.6232586968486551</v>
      </c>
      <c r="T770" s="75"/>
      <c r="U770" s="75"/>
      <c r="V770" s="76"/>
      <c r="W770" s="76"/>
      <c r="X770" s="77"/>
      <c r="Y770" s="78"/>
      <c r="Z770" s="79"/>
      <c r="AA770" s="69"/>
      <c r="AB770" s="68"/>
      <c r="AC770" s="68"/>
      <c r="AD770" s="68"/>
      <c r="AE770" s="80"/>
      <c r="AF770" s="80"/>
      <c r="AG770" s="80"/>
      <c r="AH770" s="80"/>
      <c r="AI770" s="81" t="s">
        <v>541</v>
      </c>
      <c r="AJ770" s="81" t="s">
        <v>539</v>
      </c>
      <c r="AK770" s="81">
        <v>2003</v>
      </c>
      <c r="AL770" s="81" t="s">
        <v>543</v>
      </c>
      <c r="AM770" s="81"/>
    </row>
    <row r="771" spans="1:39" s="82" customFormat="1" x14ac:dyDescent="0.3">
      <c r="A771" s="67">
        <v>292</v>
      </c>
      <c r="B771" s="68"/>
      <c r="C771" s="68">
        <v>1</v>
      </c>
      <c r="D771" s="68">
        <v>0</v>
      </c>
      <c r="E771" s="68">
        <v>32</v>
      </c>
      <c r="F771" s="68">
        <v>1</v>
      </c>
      <c r="G771" s="69">
        <v>5.8</v>
      </c>
      <c r="H771" s="68">
        <v>0</v>
      </c>
      <c r="I771" s="69">
        <v>7.0443941193584543</v>
      </c>
      <c r="J771" s="69">
        <v>2.568487813661271</v>
      </c>
      <c r="K771" s="70">
        <v>3</v>
      </c>
      <c r="L771" s="68">
        <v>70</v>
      </c>
      <c r="M771" s="71">
        <v>32</v>
      </c>
      <c r="N771" s="72">
        <v>5.8</v>
      </c>
      <c r="O771" s="84"/>
      <c r="P771" s="73"/>
      <c r="Q771" s="84">
        <v>1</v>
      </c>
      <c r="R771" s="74"/>
      <c r="S771" s="74"/>
      <c r="T771" s="75"/>
      <c r="U771" s="75"/>
      <c r="V771" s="76"/>
      <c r="W771" s="76"/>
      <c r="X771" s="77"/>
      <c r="Y771" s="78"/>
      <c r="Z771" s="79"/>
      <c r="AA771" s="69"/>
      <c r="AB771" s="68"/>
      <c r="AC771" s="68"/>
      <c r="AD771" s="68"/>
      <c r="AE771" s="80"/>
      <c r="AF771" s="80"/>
      <c r="AG771" s="80"/>
      <c r="AH771" s="80"/>
      <c r="AI771" s="81" t="s">
        <v>541</v>
      </c>
      <c r="AJ771" s="81" t="s">
        <v>539</v>
      </c>
      <c r="AK771" s="81">
        <v>2003</v>
      </c>
      <c r="AL771" s="81" t="s">
        <v>543</v>
      </c>
      <c r="AM771" s="81"/>
    </row>
    <row r="772" spans="1:39" s="82" customFormat="1" x14ac:dyDescent="0.3">
      <c r="A772" s="67">
        <v>292</v>
      </c>
      <c r="B772" s="68"/>
      <c r="C772" s="68">
        <v>2</v>
      </c>
      <c r="D772" s="68">
        <v>0</v>
      </c>
      <c r="E772" s="68">
        <v>32</v>
      </c>
      <c r="F772" s="68">
        <v>1</v>
      </c>
      <c r="G772" s="69">
        <v>5.8</v>
      </c>
      <c r="H772" s="68">
        <v>0</v>
      </c>
      <c r="I772" s="69">
        <v>7.0443941193584543</v>
      </c>
      <c r="J772" s="69">
        <v>2.568487813661271</v>
      </c>
      <c r="K772" s="70">
        <v>3</v>
      </c>
      <c r="L772" s="68">
        <v>98</v>
      </c>
      <c r="M772" s="71">
        <v>32</v>
      </c>
      <c r="N772" s="72">
        <v>5.8</v>
      </c>
      <c r="O772" s="84"/>
      <c r="P772" s="73"/>
      <c r="Q772" s="84">
        <v>1</v>
      </c>
      <c r="R772" s="74"/>
      <c r="S772" s="74"/>
      <c r="T772" s="75"/>
      <c r="U772" s="75"/>
      <c r="V772" s="76"/>
      <c r="W772" s="76"/>
      <c r="X772" s="77"/>
      <c r="Y772" s="78"/>
      <c r="Z772" s="79"/>
      <c r="AA772" s="69"/>
      <c r="AB772" s="68"/>
      <c r="AC772" s="68"/>
      <c r="AD772" s="68"/>
      <c r="AE772" s="80"/>
      <c r="AF772" s="80"/>
      <c r="AG772" s="80"/>
      <c r="AH772" s="80"/>
      <c r="AI772" s="81" t="s">
        <v>541</v>
      </c>
      <c r="AJ772" s="81" t="s">
        <v>539</v>
      </c>
      <c r="AK772" s="81">
        <v>2003</v>
      </c>
      <c r="AL772" s="81" t="s">
        <v>543</v>
      </c>
      <c r="AM772" s="81"/>
    </row>
    <row r="773" spans="1:39" s="82" customFormat="1" x14ac:dyDescent="0.3">
      <c r="A773" s="67">
        <v>292</v>
      </c>
      <c r="B773" s="68">
        <v>209</v>
      </c>
      <c r="C773" s="68">
        <v>3</v>
      </c>
      <c r="D773" s="68">
        <v>0</v>
      </c>
      <c r="E773" s="68">
        <v>32</v>
      </c>
      <c r="F773" s="68">
        <v>1</v>
      </c>
      <c r="G773" s="69">
        <v>5.8</v>
      </c>
      <c r="H773" s="68">
        <v>0</v>
      </c>
      <c r="I773" s="69">
        <v>7.0443941193584543</v>
      </c>
      <c r="J773" s="69">
        <v>2.568487813661271</v>
      </c>
      <c r="K773" s="70">
        <v>3</v>
      </c>
      <c r="L773" s="68">
        <f>24*7</f>
        <v>168</v>
      </c>
      <c r="M773" s="71"/>
      <c r="N773" s="72">
        <v>5.8</v>
      </c>
      <c r="O773" s="84">
        <v>168</v>
      </c>
      <c r="P773" s="73">
        <f>287/292</f>
        <v>0.98287671232876717</v>
      </c>
      <c r="Q773" s="84">
        <v>1</v>
      </c>
      <c r="R773" s="74">
        <v>9.8217739819705674</v>
      </c>
      <c r="S773" s="74">
        <v>3.5010968396063991</v>
      </c>
      <c r="T773" s="75"/>
      <c r="U773" s="75"/>
      <c r="V773" s="76"/>
      <c r="W773" s="76"/>
      <c r="X773" s="77"/>
      <c r="Y773" s="78">
        <f>12/209</f>
        <v>5.7416267942583733E-2</v>
      </c>
      <c r="Z773" s="79"/>
      <c r="AA773" s="69"/>
      <c r="AB773" s="68"/>
      <c r="AC773" s="68"/>
      <c r="AD773" s="68"/>
      <c r="AE773" s="80"/>
      <c r="AF773" s="80"/>
      <c r="AG773" s="80"/>
      <c r="AH773" s="80"/>
      <c r="AI773" s="81" t="s">
        <v>541</v>
      </c>
      <c r="AJ773" s="81" t="s">
        <v>539</v>
      </c>
      <c r="AK773" s="81">
        <v>2003</v>
      </c>
      <c r="AL773" s="81" t="s">
        <v>543</v>
      </c>
      <c r="AM773" s="81"/>
    </row>
    <row r="774" spans="1:39" s="82" customFormat="1" x14ac:dyDescent="0.3">
      <c r="A774" s="67">
        <v>302</v>
      </c>
      <c r="B774" s="68"/>
      <c r="C774" s="68"/>
      <c r="D774" s="68">
        <v>0</v>
      </c>
      <c r="E774" s="68"/>
      <c r="F774" s="68">
        <v>0</v>
      </c>
      <c r="G774" s="69"/>
      <c r="H774" s="68">
        <v>0</v>
      </c>
      <c r="I774" s="69">
        <v>6.9307373375628867</v>
      </c>
      <c r="J774" s="69">
        <v>2.246313959306391</v>
      </c>
      <c r="K774" s="70">
        <v>3</v>
      </c>
      <c r="L774" s="68">
        <v>0</v>
      </c>
      <c r="M774" s="71"/>
      <c r="N774" s="72">
        <v>5.8</v>
      </c>
      <c r="O774" s="84">
        <v>0</v>
      </c>
      <c r="P774" s="73">
        <f>298/302</f>
        <v>0.98675496688741726</v>
      </c>
      <c r="Q774" s="84">
        <v>1</v>
      </c>
      <c r="R774" s="74">
        <v>6.9307373375628867</v>
      </c>
      <c r="S774" s="74">
        <v>2.246313959306391</v>
      </c>
      <c r="T774" s="75">
        <f>R775</f>
        <v>6.1497471195046822</v>
      </c>
      <c r="U774" s="75">
        <f>S775</f>
        <v>3.4425041632751796</v>
      </c>
      <c r="V774" s="76"/>
      <c r="W774" s="76">
        <f>P775</f>
        <v>0.69649805447470814</v>
      </c>
      <c r="X774" s="77">
        <f>O775</f>
        <v>42</v>
      </c>
      <c r="Y774" s="78"/>
      <c r="Z774" s="79"/>
      <c r="AA774" s="69"/>
      <c r="AB774" s="68"/>
      <c r="AC774" s="68"/>
      <c r="AD774" s="68"/>
      <c r="AE774" s="80"/>
      <c r="AF774" s="80"/>
      <c r="AG774" s="80"/>
      <c r="AH774" s="80"/>
      <c r="AI774" s="81" t="s">
        <v>540</v>
      </c>
      <c r="AJ774" s="81" t="s">
        <v>539</v>
      </c>
      <c r="AK774" s="81">
        <v>2003</v>
      </c>
      <c r="AL774" s="81" t="s">
        <v>543</v>
      </c>
      <c r="AM774" s="81"/>
    </row>
    <row r="775" spans="1:39" s="82" customFormat="1" x14ac:dyDescent="0.3">
      <c r="A775" s="67">
        <v>302</v>
      </c>
      <c r="B775" s="68"/>
      <c r="C775" s="68"/>
      <c r="D775" s="68">
        <v>0</v>
      </c>
      <c r="E775" s="68"/>
      <c r="F775" s="68">
        <v>1</v>
      </c>
      <c r="G775" s="69">
        <v>5.8</v>
      </c>
      <c r="H775" s="68">
        <v>0</v>
      </c>
      <c r="I775" s="69">
        <v>6.9307373375628867</v>
      </c>
      <c r="J775" s="69">
        <v>2.246313959306391</v>
      </c>
      <c r="K775" s="70">
        <v>3</v>
      </c>
      <c r="L775" s="68">
        <v>42</v>
      </c>
      <c r="M775" s="71"/>
      <c r="N775" s="72">
        <v>5.8</v>
      </c>
      <c r="O775" s="84">
        <v>42</v>
      </c>
      <c r="P775" s="73">
        <f>179/257</f>
        <v>0.69649805447470814</v>
      </c>
      <c r="Q775" s="84">
        <v>1</v>
      </c>
      <c r="R775" s="74">
        <v>6.1497471195046822</v>
      </c>
      <c r="S775" s="74">
        <v>3.4425041632751796</v>
      </c>
      <c r="T775" s="75"/>
      <c r="U775" s="75"/>
      <c r="V775" s="76"/>
      <c r="W775" s="76"/>
      <c r="X775" s="77"/>
      <c r="Y775" s="78"/>
      <c r="Z775" s="79"/>
      <c r="AA775" s="69"/>
      <c r="AB775" s="68"/>
      <c r="AC775" s="68"/>
      <c r="AD775" s="68"/>
      <c r="AE775" s="80"/>
      <c r="AF775" s="80"/>
      <c r="AG775" s="80"/>
      <c r="AH775" s="80"/>
      <c r="AI775" s="81" t="s">
        <v>540</v>
      </c>
      <c r="AJ775" s="81" t="s">
        <v>539</v>
      </c>
      <c r="AK775" s="81">
        <v>2003</v>
      </c>
      <c r="AL775" s="81" t="s">
        <v>543</v>
      </c>
      <c r="AM775" s="81"/>
    </row>
    <row r="776" spans="1:39" s="82" customFormat="1" x14ac:dyDescent="0.3">
      <c r="A776" s="67">
        <v>302</v>
      </c>
      <c r="B776" s="68"/>
      <c r="C776" s="68"/>
      <c r="D776" s="68">
        <v>0</v>
      </c>
      <c r="E776" s="68"/>
      <c r="F776" s="68">
        <v>2</v>
      </c>
      <c r="G776" s="69">
        <v>5.8</v>
      </c>
      <c r="H776" s="68">
        <v>0</v>
      </c>
      <c r="I776" s="69">
        <v>6.9307373375628867</v>
      </c>
      <c r="J776" s="69">
        <v>2.246313959306391</v>
      </c>
      <c r="K776" s="70">
        <v>3</v>
      </c>
      <c r="L776" s="68">
        <v>70</v>
      </c>
      <c r="M776" s="71"/>
      <c r="N776" s="72">
        <v>5.8</v>
      </c>
      <c r="O776" s="84"/>
      <c r="P776" s="73"/>
      <c r="Q776" s="84">
        <v>1</v>
      </c>
      <c r="R776" s="74"/>
      <c r="S776" s="74"/>
      <c r="T776" s="75"/>
      <c r="U776" s="75"/>
      <c r="V776" s="76"/>
      <c r="W776" s="76"/>
      <c r="X776" s="77"/>
      <c r="Y776" s="78"/>
      <c r="Z776" s="79"/>
      <c r="AA776" s="69"/>
      <c r="AB776" s="68"/>
      <c r="AC776" s="68"/>
      <c r="AD776" s="68"/>
      <c r="AE776" s="80"/>
      <c r="AF776" s="80"/>
      <c r="AG776" s="80"/>
      <c r="AH776" s="80"/>
      <c r="AI776" s="81" t="s">
        <v>540</v>
      </c>
      <c r="AJ776" s="81" t="s">
        <v>539</v>
      </c>
      <c r="AK776" s="81">
        <v>2003</v>
      </c>
      <c r="AL776" s="81" t="s">
        <v>543</v>
      </c>
      <c r="AM776" s="81"/>
    </row>
    <row r="777" spans="1:39" s="82" customFormat="1" x14ac:dyDescent="0.3">
      <c r="A777" s="67">
        <v>302</v>
      </c>
      <c r="B777" s="68"/>
      <c r="C777" s="68"/>
      <c r="D777" s="68">
        <v>0</v>
      </c>
      <c r="E777" s="68"/>
      <c r="F777" s="68">
        <v>3</v>
      </c>
      <c r="G777" s="69">
        <v>5.8</v>
      </c>
      <c r="H777" s="68">
        <v>0</v>
      </c>
      <c r="I777" s="69">
        <v>6.9307373375628867</v>
      </c>
      <c r="J777" s="69">
        <v>2.246313959306391</v>
      </c>
      <c r="K777" s="70">
        <v>3</v>
      </c>
      <c r="L777" s="68">
        <v>98</v>
      </c>
      <c r="M777" s="71"/>
      <c r="N777" s="72">
        <v>5.8</v>
      </c>
      <c r="O777" s="84"/>
      <c r="P777" s="73"/>
      <c r="Q777" s="84">
        <v>1</v>
      </c>
      <c r="R777" s="74"/>
      <c r="S777" s="74"/>
      <c r="T777" s="75"/>
      <c r="U777" s="75"/>
      <c r="V777" s="76"/>
      <c r="W777" s="76"/>
      <c r="X777" s="77"/>
      <c r="Y777" s="78"/>
      <c r="Z777" s="79"/>
      <c r="AA777" s="69"/>
      <c r="AB777" s="68"/>
      <c r="AC777" s="68"/>
      <c r="AD777" s="68"/>
      <c r="AE777" s="80"/>
      <c r="AF777" s="80"/>
      <c r="AG777" s="80"/>
      <c r="AH777" s="80"/>
      <c r="AI777" s="81" t="s">
        <v>540</v>
      </c>
      <c r="AJ777" s="81" t="s">
        <v>539</v>
      </c>
      <c r="AK777" s="81">
        <v>2003</v>
      </c>
      <c r="AL777" s="81" t="s">
        <v>543</v>
      </c>
      <c r="AM777" s="81"/>
    </row>
    <row r="778" spans="1:39" s="82" customFormat="1" x14ac:dyDescent="0.3">
      <c r="A778" s="67">
        <v>302</v>
      </c>
      <c r="B778" s="68">
        <v>233</v>
      </c>
      <c r="C778" s="68"/>
      <c r="D778" s="68">
        <v>0</v>
      </c>
      <c r="E778" s="68"/>
      <c r="F778" s="68">
        <v>4</v>
      </c>
      <c r="G778" s="69">
        <v>5.8</v>
      </c>
      <c r="H778" s="68">
        <v>0</v>
      </c>
      <c r="I778" s="69">
        <v>6.9307373375628867</v>
      </c>
      <c r="J778" s="69">
        <v>2.246313959306391</v>
      </c>
      <c r="K778" s="70">
        <v>3</v>
      </c>
      <c r="L778" s="68">
        <f>24*7</f>
        <v>168</v>
      </c>
      <c r="M778" s="71"/>
      <c r="N778" s="72">
        <v>5.8</v>
      </c>
      <c r="O778" s="84">
        <v>168</v>
      </c>
      <c r="P778" s="73">
        <f>278/302</f>
        <v>0.92052980132450335</v>
      </c>
      <c r="Q778" s="84">
        <v>1</v>
      </c>
      <c r="R778" s="74">
        <v>7.4429434958487288</v>
      </c>
      <c r="S778" s="74">
        <v>3.1163579611700114</v>
      </c>
      <c r="T778" s="75"/>
      <c r="U778" s="75"/>
      <c r="V778" s="76"/>
      <c r="W778" s="76"/>
      <c r="X778" s="77"/>
      <c r="Y778" s="78">
        <f>20/233</f>
        <v>8.5836909871244635E-2</v>
      </c>
      <c r="Z778" s="79"/>
      <c r="AA778" s="69"/>
      <c r="AB778" s="68"/>
      <c r="AC778" s="68"/>
      <c r="AD778" s="68"/>
      <c r="AE778" s="80"/>
      <c r="AF778" s="80"/>
      <c r="AG778" s="80"/>
      <c r="AH778" s="80"/>
      <c r="AI778" s="81" t="s">
        <v>540</v>
      </c>
      <c r="AJ778" s="81" t="s">
        <v>539</v>
      </c>
      <c r="AK778" s="81">
        <v>2003</v>
      </c>
      <c r="AL778" s="81" t="s">
        <v>543</v>
      </c>
      <c r="AM778" s="81"/>
    </row>
    <row r="779" spans="1:39" s="82" customFormat="1" x14ac:dyDescent="0.3">
      <c r="A779" s="67">
        <v>149</v>
      </c>
      <c r="B779" s="68"/>
      <c r="C779" s="68"/>
      <c r="D779" s="68">
        <v>0</v>
      </c>
      <c r="E779" s="68"/>
      <c r="F779" s="68">
        <v>2</v>
      </c>
      <c r="G779" s="69">
        <v>6</v>
      </c>
      <c r="H779" s="68"/>
      <c r="I779" s="69"/>
      <c r="J779" s="69"/>
      <c r="K779" s="70">
        <v>1</v>
      </c>
      <c r="L779" s="68">
        <v>270</v>
      </c>
      <c r="M779" s="71"/>
      <c r="N779" s="72">
        <v>6</v>
      </c>
      <c r="O779" s="84">
        <v>270</v>
      </c>
      <c r="P779" s="73">
        <v>0.7</v>
      </c>
      <c r="Q779" s="84">
        <v>0</v>
      </c>
      <c r="R779" s="74">
        <v>5.1699250014423122</v>
      </c>
      <c r="S779" s="74">
        <v>7.1685544108045356</v>
      </c>
      <c r="T779" s="75"/>
      <c r="U779" s="75"/>
      <c r="V779" s="76">
        <f>0.3*(29/57)+0.7*(21/85)</f>
        <v>0.32557275541795666</v>
      </c>
      <c r="W779" s="76">
        <f>1-0.3*(28/57)</f>
        <v>0.85263157894736841</v>
      </c>
      <c r="X779" s="77">
        <v>310</v>
      </c>
      <c r="Y779" s="78"/>
      <c r="Z779" s="79"/>
      <c r="AA779" s="69"/>
      <c r="AB779" s="68"/>
      <c r="AC779" s="68"/>
      <c r="AD779" s="68"/>
      <c r="AE779" s="80"/>
      <c r="AF779" s="80"/>
      <c r="AG779" s="80"/>
      <c r="AH779" s="80"/>
      <c r="AI779" s="81" t="s">
        <v>516</v>
      </c>
      <c r="AJ779" s="81" t="s">
        <v>513</v>
      </c>
      <c r="AK779" s="81">
        <v>1988</v>
      </c>
      <c r="AL779" s="81" t="s">
        <v>514</v>
      </c>
      <c r="AM779" s="81"/>
    </row>
    <row r="780" spans="1:39" s="82" customFormat="1" x14ac:dyDescent="0.3">
      <c r="A780" s="67">
        <v>154</v>
      </c>
      <c r="B780" s="68"/>
      <c r="C780" s="68"/>
      <c r="D780" s="68">
        <v>0</v>
      </c>
      <c r="E780" s="68"/>
      <c r="F780" s="68">
        <v>2</v>
      </c>
      <c r="G780" s="69">
        <v>6</v>
      </c>
      <c r="H780" s="68"/>
      <c r="I780" s="69"/>
      <c r="J780" s="69"/>
      <c r="K780" s="70">
        <v>1</v>
      </c>
      <c r="L780" s="68">
        <v>270</v>
      </c>
      <c r="M780" s="71"/>
      <c r="N780" s="72">
        <v>6</v>
      </c>
      <c r="O780" s="84">
        <v>270</v>
      </c>
      <c r="P780" s="73">
        <v>0.77</v>
      </c>
      <c r="Q780" s="84">
        <v>0</v>
      </c>
      <c r="R780" s="74">
        <v>5.2479275134435852</v>
      </c>
      <c r="S780" s="74">
        <v>6.6477000138176709</v>
      </c>
      <c r="T780" s="75"/>
      <c r="U780" s="75"/>
      <c r="V780" s="76">
        <f>0.23*(24/45)+0.77*(26/98)</f>
        <v>0.32695238095238099</v>
      </c>
      <c r="W780" s="76">
        <f>1-0.23*(21/45)</f>
        <v>0.89266666666666672</v>
      </c>
      <c r="X780" s="77">
        <v>310</v>
      </c>
      <c r="Y780" s="78"/>
      <c r="Z780" s="79"/>
      <c r="AA780" s="69"/>
      <c r="AB780" s="68"/>
      <c r="AC780" s="68"/>
      <c r="AD780" s="68"/>
      <c r="AE780" s="80"/>
      <c r="AF780" s="80"/>
      <c r="AG780" s="80"/>
      <c r="AH780" s="80"/>
      <c r="AI780" s="81" t="s">
        <v>515</v>
      </c>
      <c r="AJ780" s="81" t="s">
        <v>513</v>
      </c>
      <c r="AK780" s="81">
        <v>1988</v>
      </c>
      <c r="AL780" s="81" t="s">
        <v>514</v>
      </c>
      <c r="AM780" s="81"/>
    </row>
    <row r="781" spans="1:39" s="82" customFormat="1" x14ac:dyDescent="0.3">
      <c r="A781" s="67">
        <v>149</v>
      </c>
      <c r="B781" s="68"/>
      <c r="C781" s="68"/>
      <c r="D781" s="68">
        <v>0</v>
      </c>
      <c r="E781" s="68"/>
      <c r="F781" s="68">
        <v>2</v>
      </c>
      <c r="G781" s="69">
        <v>5</v>
      </c>
      <c r="H781" s="68"/>
      <c r="I781" s="69"/>
      <c r="J781" s="69"/>
      <c r="K781" s="70">
        <v>2</v>
      </c>
      <c r="L781" s="68">
        <v>270</v>
      </c>
      <c r="M781" s="71"/>
      <c r="N781" s="72">
        <v>5</v>
      </c>
      <c r="O781" s="84">
        <v>270</v>
      </c>
      <c r="P781" s="73">
        <v>0.85</v>
      </c>
      <c r="Q781" s="84">
        <v>0</v>
      </c>
      <c r="R781" s="74">
        <v>6.2854022188622478</v>
      </c>
      <c r="S781" s="74">
        <v>6.6560969150001537</v>
      </c>
      <c r="T781" s="75"/>
      <c r="U781" s="75"/>
      <c r="V781" s="76">
        <f>0.15*(21/36)+0.85*(22/91)</f>
        <v>0.29299450549450551</v>
      </c>
      <c r="W781" s="76">
        <f>1-0.15*(15/36)</f>
        <v>0.9375</v>
      </c>
      <c r="X781" s="77">
        <v>310</v>
      </c>
      <c r="Y781" s="78"/>
      <c r="Z781" s="79"/>
      <c r="AA781" s="69"/>
      <c r="AB781" s="68"/>
      <c r="AC781" s="68"/>
      <c r="AD781" s="68"/>
      <c r="AE781" s="80"/>
      <c r="AF781" s="80"/>
      <c r="AG781" s="80"/>
      <c r="AH781" s="80"/>
      <c r="AI781" s="81" t="s">
        <v>516</v>
      </c>
      <c r="AJ781" s="81" t="s">
        <v>513</v>
      </c>
      <c r="AK781" s="81">
        <v>1988</v>
      </c>
      <c r="AL781" s="81" t="s">
        <v>514</v>
      </c>
      <c r="AM781" s="81"/>
    </row>
    <row r="782" spans="1:39" s="82" customFormat="1" x14ac:dyDescent="0.3">
      <c r="A782" s="67">
        <v>154</v>
      </c>
      <c r="B782" s="68"/>
      <c r="C782" s="68"/>
      <c r="D782" s="68">
        <v>0</v>
      </c>
      <c r="E782" s="68"/>
      <c r="F782" s="68">
        <v>2</v>
      </c>
      <c r="G782" s="69">
        <v>5</v>
      </c>
      <c r="H782" s="68"/>
      <c r="I782" s="69"/>
      <c r="J782" s="69"/>
      <c r="K782" s="70">
        <v>2</v>
      </c>
      <c r="L782" s="68">
        <v>270</v>
      </c>
      <c r="M782" s="71"/>
      <c r="N782" s="72">
        <v>5</v>
      </c>
      <c r="O782" s="84">
        <v>270</v>
      </c>
      <c r="P782" s="73">
        <v>0.86</v>
      </c>
      <c r="Q782" s="84">
        <v>0</v>
      </c>
      <c r="R782" s="74">
        <v>6.266786540694901</v>
      </c>
      <c r="S782" s="74">
        <v>6.4176905671978064</v>
      </c>
      <c r="T782" s="75"/>
      <c r="U782" s="75"/>
      <c r="V782" s="76">
        <f>0.14*(20/32)+0.86*(36/94)</f>
        <v>0.41686170212765961</v>
      </c>
      <c r="W782" s="76">
        <f>1-0.14*(12/32)</f>
        <v>0.94750000000000001</v>
      </c>
      <c r="X782" s="77">
        <v>310</v>
      </c>
      <c r="Y782" s="78"/>
      <c r="Z782" s="79"/>
      <c r="AA782" s="69"/>
      <c r="AB782" s="68"/>
      <c r="AC782" s="68"/>
      <c r="AD782" s="68"/>
      <c r="AE782" s="80"/>
      <c r="AF782" s="80"/>
      <c r="AG782" s="80"/>
      <c r="AH782" s="80"/>
      <c r="AI782" s="81" t="s">
        <v>515</v>
      </c>
      <c r="AJ782" s="81" t="s">
        <v>513</v>
      </c>
      <c r="AK782" s="81">
        <v>1988</v>
      </c>
      <c r="AL782" s="81" t="s">
        <v>514</v>
      </c>
      <c r="AM782" s="81"/>
    </row>
    <row r="783" spans="1:39" s="82" customFormat="1" x14ac:dyDescent="0.3">
      <c r="A783" s="67">
        <v>149</v>
      </c>
      <c r="B783" s="68"/>
      <c r="C783" s="68"/>
      <c r="D783" s="68">
        <v>0</v>
      </c>
      <c r="E783" s="68"/>
      <c r="F783" s="68">
        <v>2</v>
      </c>
      <c r="G783" s="69">
        <v>5.5</v>
      </c>
      <c r="H783" s="68"/>
      <c r="I783" s="69"/>
      <c r="J783" s="69"/>
      <c r="K783" s="70">
        <v>3</v>
      </c>
      <c r="L783" s="68">
        <v>270</v>
      </c>
      <c r="M783" s="71"/>
      <c r="N783" s="72">
        <v>5.8</v>
      </c>
      <c r="O783" s="84">
        <v>270</v>
      </c>
      <c r="P783" s="73">
        <v>0.51</v>
      </c>
      <c r="Q783" s="84">
        <v>0</v>
      </c>
      <c r="R783" s="74">
        <v>4.1699250014423122</v>
      </c>
      <c r="S783" s="74">
        <v>6.784960775650779</v>
      </c>
      <c r="T783" s="75"/>
      <c r="U783" s="75"/>
      <c r="V783" s="76">
        <f>0.49*(38/86)+0.51*(21/67)</f>
        <v>0.37636237417563345</v>
      </c>
      <c r="W783" s="76">
        <f>1-0.49*(48/86)</f>
        <v>0.72651162790697676</v>
      </c>
      <c r="X783" s="77">
        <v>310</v>
      </c>
      <c r="Y783" s="78"/>
      <c r="Z783" s="79"/>
      <c r="AA783" s="69"/>
      <c r="AB783" s="68"/>
      <c r="AC783" s="68"/>
      <c r="AD783" s="68"/>
      <c r="AE783" s="80"/>
      <c r="AF783" s="80"/>
      <c r="AG783" s="80"/>
      <c r="AH783" s="80"/>
      <c r="AI783" s="81" t="s">
        <v>516</v>
      </c>
      <c r="AJ783" s="81" t="s">
        <v>513</v>
      </c>
      <c r="AK783" s="81">
        <v>1988</v>
      </c>
      <c r="AL783" s="81" t="s">
        <v>514</v>
      </c>
      <c r="AM783" s="81"/>
    </row>
    <row r="784" spans="1:39" s="82" customFormat="1" x14ac:dyDescent="0.3">
      <c r="A784" s="67">
        <v>154</v>
      </c>
      <c r="B784" s="68"/>
      <c r="C784" s="68"/>
      <c r="D784" s="68">
        <v>0</v>
      </c>
      <c r="E784" s="68"/>
      <c r="F784" s="68">
        <v>2</v>
      </c>
      <c r="G784" s="69">
        <v>5.5</v>
      </c>
      <c r="H784" s="68"/>
      <c r="I784" s="69"/>
      <c r="J784" s="69"/>
      <c r="K784" s="70">
        <v>3</v>
      </c>
      <c r="L784" s="68">
        <v>270</v>
      </c>
      <c r="M784" s="71"/>
      <c r="N784" s="72">
        <v>5.5</v>
      </c>
      <c r="O784" s="84">
        <v>270</v>
      </c>
      <c r="P784" s="73">
        <v>0.46</v>
      </c>
      <c r="Q784" s="84">
        <v>0</v>
      </c>
      <c r="R784" s="74">
        <v>3.9068905956085187</v>
      </c>
      <c r="S784" s="74">
        <v>6.2308523482052314</v>
      </c>
      <c r="T784" s="75"/>
      <c r="U784" s="75"/>
      <c r="V784" s="76">
        <f>0.54*(14/93)+0.46*(14/60)</f>
        <v>0.18862365591397851</v>
      </c>
      <c r="W784" s="76">
        <f>1-0.54*(79/93)</f>
        <v>0.54129032258064513</v>
      </c>
      <c r="X784" s="77">
        <v>310</v>
      </c>
      <c r="Y784" s="78"/>
      <c r="Z784" s="79"/>
      <c r="AA784" s="69"/>
      <c r="AB784" s="68"/>
      <c r="AC784" s="68"/>
      <c r="AD784" s="68"/>
      <c r="AE784" s="80"/>
      <c r="AF784" s="80"/>
      <c r="AG784" s="80"/>
      <c r="AH784" s="80"/>
      <c r="AI784" s="81" t="s">
        <v>515</v>
      </c>
      <c r="AJ784" s="81" t="s">
        <v>513</v>
      </c>
      <c r="AK784" s="81">
        <v>1988</v>
      </c>
      <c r="AL784" s="81" t="s">
        <v>514</v>
      </c>
      <c r="AM784" s="81"/>
    </row>
    <row r="785" spans="1:39" s="82" customFormat="1" x14ac:dyDescent="0.3">
      <c r="A785" s="67">
        <v>138</v>
      </c>
      <c r="B785" s="68"/>
      <c r="C785" s="68"/>
      <c r="D785" s="68">
        <v>0</v>
      </c>
      <c r="E785" s="68"/>
      <c r="F785" s="68">
        <v>2</v>
      </c>
      <c r="G785" s="69">
        <v>5.5</v>
      </c>
      <c r="H785" s="68"/>
      <c r="I785" s="69"/>
      <c r="J785" s="69"/>
      <c r="K785" s="70">
        <v>3</v>
      </c>
      <c r="L785" s="68">
        <v>270</v>
      </c>
      <c r="M785" s="71"/>
      <c r="N785" s="72">
        <v>5.5</v>
      </c>
      <c r="O785" s="84">
        <v>270</v>
      </c>
      <c r="P785" s="73">
        <v>0.43</v>
      </c>
      <c r="Q785" s="84">
        <v>0</v>
      </c>
      <c r="R785" s="74">
        <v>3.5849625007211565</v>
      </c>
      <c r="S785" s="74">
        <v>6.1878762394454938</v>
      </c>
      <c r="T785" s="75"/>
      <c r="U785" s="75"/>
      <c r="V785" s="76">
        <f>0.57*(49/94)+0.43*(25/53)</f>
        <v>0.49995784825371337</v>
      </c>
      <c r="W785" s="76">
        <f>1-0.57*(45/94)</f>
        <v>0.72712765957446812</v>
      </c>
      <c r="X785" s="77">
        <v>310</v>
      </c>
      <c r="Y785" s="78"/>
      <c r="Z785" s="79"/>
      <c r="AA785" s="69"/>
      <c r="AB785" s="68"/>
      <c r="AC785" s="68"/>
      <c r="AD785" s="68"/>
      <c r="AE785" s="80"/>
      <c r="AF785" s="80"/>
      <c r="AG785" s="80"/>
      <c r="AH785" s="80"/>
      <c r="AI785" s="81" t="s">
        <v>517</v>
      </c>
      <c r="AJ785" s="81" t="s">
        <v>513</v>
      </c>
      <c r="AK785" s="81">
        <v>1988</v>
      </c>
      <c r="AL785" s="81" t="s">
        <v>514</v>
      </c>
      <c r="AM785" s="81"/>
    </row>
    <row r="786" spans="1:39" s="82" customFormat="1" x14ac:dyDescent="0.3">
      <c r="A786" s="67">
        <v>0</v>
      </c>
      <c r="B786" s="67">
        <v>23</v>
      </c>
      <c r="C786" s="68"/>
      <c r="D786" s="68">
        <v>0</v>
      </c>
      <c r="E786" s="68"/>
      <c r="F786" s="68">
        <v>0</v>
      </c>
      <c r="G786" s="69"/>
      <c r="H786" s="68"/>
      <c r="I786" s="69"/>
      <c r="J786" s="69"/>
      <c r="K786" s="70">
        <v>1</v>
      </c>
      <c r="L786" s="68">
        <v>540</v>
      </c>
      <c r="M786" s="71"/>
      <c r="N786" s="72">
        <v>4.7</v>
      </c>
      <c r="O786" s="84"/>
      <c r="P786" s="73"/>
      <c r="Q786" s="84"/>
      <c r="R786" s="74"/>
      <c r="S786" s="74"/>
      <c r="T786" s="75"/>
      <c r="U786" s="75"/>
      <c r="V786" s="76"/>
      <c r="W786" s="76"/>
      <c r="X786" s="77"/>
      <c r="Y786" s="78">
        <v>0.83</v>
      </c>
      <c r="Z786" s="79"/>
      <c r="AA786" s="69"/>
      <c r="AB786" s="68">
        <f>29+4</f>
        <v>33</v>
      </c>
      <c r="AC786" s="68"/>
      <c r="AD786" s="68"/>
      <c r="AE786" s="80"/>
      <c r="AF786" s="80"/>
      <c r="AG786" s="80"/>
      <c r="AH786" s="80"/>
      <c r="AI786" s="81" t="s">
        <v>500</v>
      </c>
      <c r="AJ786" s="81" t="s">
        <v>496</v>
      </c>
      <c r="AK786" s="81">
        <v>1965</v>
      </c>
      <c r="AL786" s="81" t="s">
        <v>416</v>
      </c>
      <c r="AM786" s="81"/>
    </row>
    <row r="787" spans="1:39" s="82" customFormat="1" x14ac:dyDescent="0.3">
      <c r="A787" s="67">
        <v>0</v>
      </c>
      <c r="B787" s="68"/>
      <c r="C787" s="68"/>
      <c r="D787" s="68">
        <v>2</v>
      </c>
      <c r="E787" s="68">
        <v>20</v>
      </c>
      <c r="F787" s="68">
        <v>0</v>
      </c>
      <c r="G787" s="69"/>
      <c r="H787" s="68"/>
      <c r="I787" s="69"/>
      <c r="J787" s="69"/>
      <c r="K787" s="70">
        <v>1</v>
      </c>
      <c r="L787" s="68">
        <v>510</v>
      </c>
      <c r="M787" s="71">
        <v>20</v>
      </c>
      <c r="N787" s="72"/>
      <c r="O787" s="84"/>
      <c r="P787" s="73"/>
      <c r="Q787" s="84"/>
      <c r="R787" s="74"/>
      <c r="S787" s="74"/>
      <c r="T787" s="75"/>
      <c r="U787" s="75"/>
      <c r="V787" s="76"/>
      <c r="W787" s="76"/>
      <c r="X787" s="77"/>
      <c r="Y787" s="78"/>
      <c r="Z787" s="79"/>
      <c r="AA787" s="69"/>
      <c r="AB787" s="68"/>
      <c r="AC787" s="68"/>
      <c r="AD787" s="68"/>
      <c r="AE787" s="80"/>
      <c r="AF787" s="80"/>
      <c r="AG787" s="80"/>
      <c r="AH787" s="80"/>
      <c r="AI787" s="81" t="s">
        <v>498</v>
      </c>
      <c r="AJ787" s="81" t="s">
        <v>496</v>
      </c>
      <c r="AK787" s="81">
        <v>1965</v>
      </c>
      <c r="AL787" s="81" t="s">
        <v>416</v>
      </c>
      <c r="AM787" s="81"/>
    </row>
    <row r="788" spans="1:39" s="82" customFormat="1" x14ac:dyDescent="0.3">
      <c r="A788" s="67">
        <v>0</v>
      </c>
      <c r="B788" s="67">
        <v>51</v>
      </c>
      <c r="C788" s="68"/>
      <c r="D788" s="68">
        <v>3</v>
      </c>
      <c r="E788" s="68">
        <v>20</v>
      </c>
      <c r="F788" s="68">
        <v>0</v>
      </c>
      <c r="G788" s="69"/>
      <c r="H788" s="68"/>
      <c r="I788" s="69"/>
      <c r="J788" s="69"/>
      <c r="K788" s="70">
        <v>1</v>
      </c>
      <c r="L788" s="68">
        <v>540</v>
      </c>
      <c r="M788" s="71"/>
      <c r="N788" s="72">
        <v>4.7</v>
      </c>
      <c r="O788" s="84"/>
      <c r="P788" s="73"/>
      <c r="Q788" s="84"/>
      <c r="R788" s="74"/>
      <c r="S788" s="74"/>
      <c r="T788" s="75"/>
      <c r="U788" s="75"/>
      <c r="V788" s="76"/>
      <c r="W788" s="76"/>
      <c r="X788" s="77"/>
      <c r="Y788" s="78">
        <v>0.76</v>
      </c>
      <c r="Z788" s="79"/>
      <c r="AA788" s="69"/>
      <c r="AB788" s="68">
        <f>22+4</f>
        <v>26</v>
      </c>
      <c r="AC788" s="68"/>
      <c r="AD788" s="68"/>
      <c r="AE788" s="80"/>
      <c r="AF788" s="80"/>
      <c r="AG788" s="80"/>
      <c r="AH788" s="80"/>
      <c r="AI788" s="81" t="s">
        <v>498</v>
      </c>
      <c r="AJ788" s="81" t="s">
        <v>496</v>
      </c>
      <c r="AK788" s="81">
        <v>1965</v>
      </c>
      <c r="AL788" s="81" t="s">
        <v>416</v>
      </c>
      <c r="AM788" s="81"/>
    </row>
    <row r="789" spans="1:39" s="82" customFormat="1" x14ac:dyDescent="0.3">
      <c r="A789" s="67">
        <v>0</v>
      </c>
      <c r="B789" s="68"/>
      <c r="C789" s="68"/>
      <c r="D789" s="68">
        <v>0</v>
      </c>
      <c r="E789" s="68">
        <v>0</v>
      </c>
      <c r="F789" s="68">
        <v>2</v>
      </c>
      <c r="G789" s="69">
        <v>5.7</v>
      </c>
      <c r="H789" s="68"/>
      <c r="I789" s="69"/>
      <c r="J789" s="69"/>
      <c r="K789" s="70">
        <v>1</v>
      </c>
      <c r="L789" s="68">
        <v>510</v>
      </c>
      <c r="M789" s="71"/>
      <c r="N789" s="72">
        <v>5.7</v>
      </c>
      <c r="O789" s="84"/>
      <c r="P789" s="73"/>
      <c r="Q789" s="84"/>
      <c r="R789" s="74"/>
      <c r="S789" s="74"/>
      <c r="T789" s="75"/>
      <c r="U789" s="75"/>
      <c r="V789" s="76"/>
      <c r="W789" s="76"/>
      <c r="X789" s="77"/>
      <c r="Y789" s="78"/>
      <c r="Z789" s="79"/>
      <c r="AA789" s="69"/>
      <c r="AB789" s="68"/>
      <c r="AC789" s="68"/>
      <c r="AD789" s="68"/>
      <c r="AE789" s="80"/>
      <c r="AF789" s="80"/>
      <c r="AG789" s="80"/>
      <c r="AH789" s="80"/>
      <c r="AI789" s="81" t="s">
        <v>497</v>
      </c>
      <c r="AJ789" s="81" t="s">
        <v>496</v>
      </c>
      <c r="AK789" s="81">
        <v>1965</v>
      </c>
      <c r="AL789" s="81" t="s">
        <v>416</v>
      </c>
      <c r="AM789" s="81"/>
    </row>
    <row r="790" spans="1:39" s="82" customFormat="1" x14ac:dyDescent="0.3">
      <c r="A790" s="67">
        <v>0</v>
      </c>
      <c r="B790" s="67">
        <v>53</v>
      </c>
      <c r="C790" s="68"/>
      <c r="D790" s="68">
        <v>0</v>
      </c>
      <c r="E790" s="68">
        <v>0</v>
      </c>
      <c r="F790" s="68">
        <v>3</v>
      </c>
      <c r="G790" s="69">
        <v>5.7</v>
      </c>
      <c r="H790" s="68"/>
      <c r="I790" s="69"/>
      <c r="J790" s="69"/>
      <c r="K790" s="70">
        <v>1</v>
      </c>
      <c r="L790" s="68">
        <v>540</v>
      </c>
      <c r="M790" s="71"/>
      <c r="N790" s="72">
        <v>4.7</v>
      </c>
      <c r="O790" s="84"/>
      <c r="P790" s="73"/>
      <c r="Q790" s="84"/>
      <c r="R790" s="74"/>
      <c r="S790" s="74"/>
      <c r="T790" s="75"/>
      <c r="U790" s="75"/>
      <c r="V790" s="76"/>
      <c r="W790" s="76"/>
      <c r="X790" s="77"/>
      <c r="Y790" s="78">
        <v>0.34</v>
      </c>
      <c r="Z790" s="79"/>
      <c r="AA790" s="69"/>
      <c r="AB790" s="68">
        <f>13+4</f>
        <v>17</v>
      </c>
      <c r="AC790" s="68"/>
      <c r="AD790" s="68"/>
      <c r="AE790" s="80"/>
      <c r="AF790" s="80"/>
      <c r="AG790" s="80"/>
      <c r="AH790" s="80"/>
      <c r="AI790" s="81" t="s">
        <v>497</v>
      </c>
      <c r="AJ790" s="81" t="s">
        <v>496</v>
      </c>
      <c r="AK790" s="81">
        <v>1965</v>
      </c>
      <c r="AL790" s="81" t="s">
        <v>416</v>
      </c>
      <c r="AM790" s="81"/>
    </row>
    <row r="791" spans="1:39" s="82" customFormat="1" x14ac:dyDescent="0.3">
      <c r="A791" s="67">
        <v>0</v>
      </c>
      <c r="B791" s="68"/>
      <c r="C791" s="68"/>
      <c r="D791" s="68">
        <v>2</v>
      </c>
      <c r="E791" s="68">
        <v>20</v>
      </c>
      <c r="F791" s="68">
        <v>0</v>
      </c>
      <c r="G791" s="69"/>
      <c r="H791" s="68"/>
      <c r="I791" s="69"/>
      <c r="J791" s="69"/>
      <c r="K791" s="70">
        <v>1</v>
      </c>
      <c r="L791" s="68">
        <v>510</v>
      </c>
      <c r="M791" s="71">
        <v>20</v>
      </c>
      <c r="N791" s="72"/>
      <c r="O791" s="84"/>
      <c r="P791" s="73"/>
      <c r="Q791" s="84"/>
      <c r="R791" s="74"/>
      <c r="S791" s="74"/>
      <c r="T791" s="75"/>
      <c r="U791" s="75"/>
      <c r="V791" s="76"/>
      <c r="W791" s="76"/>
      <c r="X791" s="77"/>
      <c r="Y791" s="78"/>
      <c r="Z791" s="79"/>
      <c r="AA791" s="69"/>
      <c r="AB791" s="68"/>
      <c r="AC791" s="68"/>
      <c r="AD791" s="68"/>
      <c r="AE791" s="80"/>
      <c r="AF791" s="80"/>
      <c r="AG791" s="80"/>
      <c r="AH791" s="80"/>
      <c r="AI791" s="81" t="s">
        <v>499</v>
      </c>
      <c r="AJ791" s="81" t="s">
        <v>496</v>
      </c>
      <c r="AK791" s="81">
        <v>1965</v>
      </c>
      <c r="AL791" s="81" t="s">
        <v>416</v>
      </c>
      <c r="AM791" s="81"/>
    </row>
    <row r="792" spans="1:39" s="82" customFormat="1" x14ac:dyDescent="0.3">
      <c r="A792" s="67">
        <v>0</v>
      </c>
      <c r="B792" s="67">
        <v>18</v>
      </c>
      <c r="C792" s="68"/>
      <c r="D792" s="68">
        <v>3</v>
      </c>
      <c r="E792" s="68">
        <v>20</v>
      </c>
      <c r="F792" s="68">
        <v>0</v>
      </c>
      <c r="G792" s="69"/>
      <c r="H792" s="68"/>
      <c r="I792" s="69"/>
      <c r="J792" s="69"/>
      <c r="K792" s="70">
        <v>1</v>
      </c>
      <c r="L792" s="68">
        <v>540</v>
      </c>
      <c r="M792" s="71"/>
      <c r="N792" s="72">
        <v>4.7</v>
      </c>
      <c r="O792" s="84"/>
      <c r="P792" s="73"/>
      <c r="Q792" s="84"/>
      <c r="R792" s="74"/>
      <c r="S792" s="74"/>
      <c r="T792" s="75"/>
      <c r="U792" s="75"/>
      <c r="V792" s="76"/>
      <c r="W792" s="76"/>
      <c r="X792" s="77"/>
      <c r="Y792" s="78">
        <v>0.89</v>
      </c>
      <c r="Z792" s="79"/>
      <c r="AA792" s="69"/>
      <c r="AB792" s="68">
        <f>26+4</f>
        <v>30</v>
      </c>
      <c r="AC792" s="68"/>
      <c r="AD792" s="68"/>
      <c r="AE792" s="80"/>
      <c r="AF792" s="80"/>
      <c r="AG792" s="80"/>
      <c r="AH792" s="80"/>
      <c r="AI792" s="81" t="s">
        <v>499</v>
      </c>
      <c r="AJ792" s="81" t="s">
        <v>496</v>
      </c>
      <c r="AK792" s="81">
        <v>1965</v>
      </c>
      <c r="AL792" s="81" t="s">
        <v>416</v>
      </c>
      <c r="AM792" s="81"/>
    </row>
    <row r="793" spans="1:39" s="82" customFormat="1" x14ac:dyDescent="0.3">
      <c r="A793" s="67">
        <v>0</v>
      </c>
      <c r="B793" s="68"/>
      <c r="C793" s="68"/>
      <c r="D793" s="68">
        <v>2</v>
      </c>
      <c r="E793" s="68">
        <v>2</v>
      </c>
      <c r="F793" s="68">
        <v>0</v>
      </c>
      <c r="G793" s="69"/>
      <c r="H793" s="68"/>
      <c r="I793" s="69"/>
      <c r="J793" s="69"/>
      <c r="K793" s="70">
        <v>2</v>
      </c>
      <c r="L793" s="68">
        <v>510</v>
      </c>
      <c r="M793" s="71">
        <v>2</v>
      </c>
      <c r="N793" s="72"/>
      <c r="O793" s="84"/>
      <c r="P793" s="73"/>
      <c r="Q793" s="84"/>
      <c r="R793" s="74"/>
      <c r="S793" s="74"/>
      <c r="T793" s="75"/>
      <c r="U793" s="75"/>
      <c r="V793" s="76"/>
      <c r="W793" s="76"/>
      <c r="X793" s="77"/>
      <c r="Y793" s="78"/>
      <c r="Z793" s="79"/>
      <c r="AA793" s="69"/>
      <c r="AB793" s="68"/>
      <c r="AC793" s="68"/>
      <c r="AD793" s="68"/>
      <c r="AE793" s="80"/>
      <c r="AF793" s="80"/>
      <c r="AG793" s="80"/>
      <c r="AH793" s="80"/>
      <c r="AI793" s="81" t="s">
        <v>498</v>
      </c>
      <c r="AJ793" s="81" t="s">
        <v>496</v>
      </c>
      <c r="AK793" s="81">
        <v>1965</v>
      </c>
      <c r="AL793" s="81" t="s">
        <v>416</v>
      </c>
      <c r="AM793" s="81"/>
    </row>
    <row r="794" spans="1:39" s="82" customFormat="1" x14ac:dyDescent="0.3">
      <c r="A794" s="67">
        <v>0</v>
      </c>
      <c r="B794" s="68"/>
      <c r="C794" s="68"/>
      <c r="D794" s="68">
        <v>0</v>
      </c>
      <c r="E794" s="68">
        <v>0</v>
      </c>
      <c r="F794" s="68">
        <v>2</v>
      </c>
      <c r="G794" s="69">
        <v>5</v>
      </c>
      <c r="H794" s="68"/>
      <c r="I794" s="69"/>
      <c r="J794" s="69"/>
      <c r="K794" s="70">
        <v>2</v>
      </c>
      <c r="L794" s="68">
        <v>510</v>
      </c>
      <c r="M794" s="71"/>
      <c r="N794" s="72">
        <v>5</v>
      </c>
      <c r="O794" s="84"/>
      <c r="P794" s="73"/>
      <c r="Q794" s="84"/>
      <c r="R794" s="74"/>
      <c r="S794" s="74"/>
      <c r="T794" s="75"/>
      <c r="U794" s="75"/>
      <c r="V794" s="76"/>
      <c r="W794" s="76"/>
      <c r="X794" s="77"/>
      <c r="Y794" s="78"/>
      <c r="Z794" s="79"/>
      <c r="AA794" s="69"/>
      <c r="AB794" s="68"/>
      <c r="AC794" s="68"/>
      <c r="AD794" s="68"/>
      <c r="AE794" s="80"/>
      <c r="AF794" s="80"/>
      <c r="AG794" s="80"/>
      <c r="AH794" s="80"/>
      <c r="AI794" s="81" t="s">
        <v>497</v>
      </c>
      <c r="AJ794" s="81" t="s">
        <v>496</v>
      </c>
      <c r="AK794" s="81">
        <v>1965</v>
      </c>
      <c r="AL794" s="81" t="s">
        <v>416</v>
      </c>
      <c r="AM794" s="81"/>
    </row>
    <row r="795" spans="1:39" s="82" customFormat="1" x14ac:dyDescent="0.3">
      <c r="A795" s="67">
        <v>0</v>
      </c>
      <c r="B795" s="68"/>
      <c r="C795" s="68"/>
      <c r="D795" s="68">
        <v>2</v>
      </c>
      <c r="E795" s="68">
        <v>2</v>
      </c>
      <c r="F795" s="68">
        <v>0</v>
      </c>
      <c r="G795" s="69"/>
      <c r="H795" s="68"/>
      <c r="I795" s="69"/>
      <c r="J795" s="69"/>
      <c r="K795" s="70">
        <v>2</v>
      </c>
      <c r="L795" s="68">
        <v>510</v>
      </c>
      <c r="M795" s="71">
        <v>2</v>
      </c>
      <c r="N795" s="72"/>
      <c r="O795" s="84"/>
      <c r="P795" s="73"/>
      <c r="Q795" s="84"/>
      <c r="R795" s="74"/>
      <c r="S795" s="74"/>
      <c r="T795" s="75"/>
      <c r="U795" s="75"/>
      <c r="V795" s="76"/>
      <c r="W795" s="76"/>
      <c r="X795" s="77"/>
      <c r="Y795" s="78"/>
      <c r="Z795" s="79"/>
      <c r="AA795" s="69"/>
      <c r="AB795" s="68"/>
      <c r="AC795" s="68"/>
      <c r="AD795" s="68"/>
      <c r="AE795" s="80"/>
      <c r="AF795" s="80"/>
      <c r="AG795" s="80"/>
      <c r="AH795" s="80"/>
      <c r="AI795" s="81" t="s">
        <v>499</v>
      </c>
      <c r="AJ795" s="81" t="s">
        <v>496</v>
      </c>
      <c r="AK795" s="81">
        <v>1965</v>
      </c>
      <c r="AL795" s="81" t="s">
        <v>416</v>
      </c>
      <c r="AM795" s="81"/>
    </row>
    <row r="796" spans="1:39" s="82" customFormat="1" x14ac:dyDescent="0.3">
      <c r="A796" s="67">
        <v>0</v>
      </c>
      <c r="B796" s="68"/>
      <c r="C796" s="68"/>
      <c r="D796" s="68">
        <v>2</v>
      </c>
      <c r="E796" s="68">
        <v>4</v>
      </c>
      <c r="F796" s="68">
        <v>0</v>
      </c>
      <c r="G796" s="69"/>
      <c r="H796" s="68"/>
      <c r="I796" s="69"/>
      <c r="J796" s="69"/>
      <c r="K796" s="70">
        <v>3</v>
      </c>
      <c r="L796" s="68">
        <v>510</v>
      </c>
      <c r="M796" s="71">
        <v>4</v>
      </c>
      <c r="N796" s="72"/>
      <c r="O796" s="84"/>
      <c r="P796" s="73"/>
      <c r="Q796" s="84"/>
      <c r="R796" s="74"/>
      <c r="S796" s="74"/>
      <c r="T796" s="75"/>
      <c r="U796" s="75"/>
      <c r="V796" s="76"/>
      <c r="W796" s="76"/>
      <c r="X796" s="77"/>
      <c r="Y796" s="78"/>
      <c r="Z796" s="79"/>
      <c r="AA796" s="69"/>
      <c r="AB796" s="68"/>
      <c r="AC796" s="68"/>
      <c r="AD796" s="68"/>
      <c r="AE796" s="80"/>
      <c r="AF796" s="80"/>
      <c r="AG796" s="80"/>
      <c r="AH796" s="80"/>
      <c r="AI796" s="81" t="s">
        <v>498</v>
      </c>
      <c r="AJ796" s="81" t="s">
        <v>496</v>
      </c>
      <c r="AK796" s="81">
        <v>1965</v>
      </c>
      <c r="AL796" s="81" t="s">
        <v>416</v>
      </c>
      <c r="AM796" s="81"/>
    </row>
    <row r="797" spans="1:39" s="82" customFormat="1" x14ac:dyDescent="0.3">
      <c r="A797" s="67">
        <v>0</v>
      </c>
      <c r="B797" s="68"/>
      <c r="C797" s="68"/>
      <c r="D797" s="68">
        <v>0</v>
      </c>
      <c r="E797" s="68">
        <v>0</v>
      </c>
      <c r="F797" s="68">
        <v>2</v>
      </c>
      <c r="G797" s="69">
        <v>5.5</v>
      </c>
      <c r="H797" s="68"/>
      <c r="I797" s="69"/>
      <c r="J797" s="69"/>
      <c r="K797" s="70">
        <v>3</v>
      </c>
      <c r="L797" s="68">
        <v>510</v>
      </c>
      <c r="M797" s="71"/>
      <c r="N797" s="72">
        <v>5.5</v>
      </c>
      <c r="O797" s="84"/>
      <c r="P797" s="73"/>
      <c r="Q797" s="84"/>
      <c r="R797" s="74"/>
      <c r="S797" s="74"/>
      <c r="T797" s="75"/>
      <c r="U797" s="75"/>
      <c r="V797" s="76"/>
      <c r="W797" s="76"/>
      <c r="X797" s="77"/>
      <c r="Y797" s="78"/>
      <c r="Z797" s="79"/>
      <c r="AA797" s="69"/>
      <c r="AB797" s="68"/>
      <c r="AC797" s="68"/>
      <c r="AD797" s="68"/>
      <c r="AE797" s="80"/>
      <c r="AF797" s="80"/>
      <c r="AG797" s="80"/>
      <c r="AH797" s="80"/>
      <c r="AI797" s="81" t="s">
        <v>497</v>
      </c>
      <c r="AJ797" s="81" t="s">
        <v>496</v>
      </c>
      <c r="AK797" s="81">
        <v>1965</v>
      </c>
      <c r="AL797" s="81" t="s">
        <v>416</v>
      </c>
      <c r="AM797" s="81"/>
    </row>
    <row r="798" spans="1:39" s="82" customFormat="1" x14ac:dyDescent="0.3">
      <c r="A798" s="67">
        <v>0</v>
      </c>
      <c r="B798" s="68"/>
      <c r="C798" s="68"/>
      <c r="D798" s="68">
        <v>2</v>
      </c>
      <c r="E798" s="68">
        <v>4</v>
      </c>
      <c r="F798" s="68">
        <v>0</v>
      </c>
      <c r="G798" s="69"/>
      <c r="H798" s="68"/>
      <c r="I798" s="69"/>
      <c r="J798" s="69"/>
      <c r="K798" s="70">
        <v>3</v>
      </c>
      <c r="L798" s="68">
        <v>510</v>
      </c>
      <c r="M798" s="71">
        <v>4</v>
      </c>
      <c r="N798" s="72"/>
      <c r="O798" s="84"/>
      <c r="P798" s="73"/>
      <c r="Q798" s="84"/>
      <c r="R798" s="74"/>
      <c r="S798" s="74"/>
      <c r="T798" s="75"/>
      <c r="U798" s="75"/>
      <c r="V798" s="76"/>
      <c r="W798" s="76"/>
      <c r="X798" s="77"/>
      <c r="Y798" s="78"/>
      <c r="Z798" s="79"/>
      <c r="AA798" s="69"/>
      <c r="AB798" s="68"/>
      <c r="AC798" s="68"/>
      <c r="AD798" s="68"/>
      <c r="AE798" s="80"/>
      <c r="AF798" s="80"/>
      <c r="AG798" s="80"/>
      <c r="AH798" s="80"/>
      <c r="AI798" s="81" t="s">
        <v>499</v>
      </c>
      <c r="AJ798" s="81" t="s">
        <v>496</v>
      </c>
      <c r="AK798" s="81">
        <v>1965</v>
      </c>
      <c r="AL798" s="81" t="s">
        <v>416</v>
      </c>
      <c r="AM798" s="81"/>
    </row>
    <row r="799" spans="1:39" s="82" customFormat="1" x14ac:dyDescent="0.3">
      <c r="A799" s="67">
        <v>45</v>
      </c>
      <c r="B799" s="68">
        <v>44</v>
      </c>
      <c r="C799" s="68"/>
      <c r="D799" s="68">
        <v>3</v>
      </c>
      <c r="E799" s="68">
        <v>32</v>
      </c>
      <c r="F799" s="68">
        <v>0</v>
      </c>
      <c r="G799" s="69"/>
      <c r="H799" s="68"/>
      <c r="I799" s="69"/>
      <c r="J799" s="69"/>
      <c r="K799" s="70">
        <v>3</v>
      </c>
      <c r="L799" s="68">
        <v>540</v>
      </c>
      <c r="M799" s="71"/>
      <c r="N799" s="72">
        <v>5.7</v>
      </c>
      <c r="O799" s="84">
        <v>540</v>
      </c>
      <c r="P799" s="73">
        <v>1</v>
      </c>
      <c r="Q799" s="84">
        <v>0</v>
      </c>
      <c r="R799" s="74">
        <v>9.36</v>
      </c>
      <c r="S799" s="74">
        <v>4.9000000000000004</v>
      </c>
      <c r="T799" s="75"/>
      <c r="U799" s="75"/>
      <c r="V799" s="76"/>
      <c r="W799" s="76"/>
      <c r="X799" s="77"/>
      <c r="Y799" s="78">
        <f>42/45</f>
        <v>0.93333333333333335</v>
      </c>
      <c r="Z799" s="79">
        <v>5.59</v>
      </c>
      <c r="AA799" s="69"/>
      <c r="AB799" s="68">
        <v>33.299999999999997</v>
      </c>
      <c r="AC799" s="68">
        <v>184</v>
      </c>
      <c r="AD799" s="68"/>
      <c r="AE799" s="80"/>
      <c r="AF799" s="80"/>
      <c r="AG799" s="80"/>
      <c r="AH799" s="80"/>
      <c r="AI799" s="81" t="s">
        <v>79</v>
      </c>
      <c r="AJ799" s="81" t="s">
        <v>80</v>
      </c>
      <c r="AK799" s="81">
        <v>1999</v>
      </c>
      <c r="AL799" s="81" t="s">
        <v>81</v>
      </c>
      <c r="AM799" s="81"/>
    </row>
    <row r="800" spans="1:39" s="82" customFormat="1" x14ac:dyDescent="0.3">
      <c r="A800" s="67">
        <v>38</v>
      </c>
      <c r="B800" s="68"/>
      <c r="C800" s="68"/>
      <c r="D800" s="68">
        <v>0</v>
      </c>
      <c r="E800" s="68"/>
      <c r="F800" s="68">
        <v>0</v>
      </c>
      <c r="G800" s="69"/>
      <c r="H800" s="68">
        <v>60</v>
      </c>
      <c r="I800" s="69">
        <v>5.2479275134435852</v>
      </c>
      <c r="J800" s="69">
        <v>5.2260285621173752</v>
      </c>
      <c r="K800" s="70">
        <v>1</v>
      </c>
      <c r="L800" s="68">
        <v>60</v>
      </c>
      <c r="M800" s="71">
        <v>40</v>
      </c>
      <c r="N800" s="72"/>
      <c r="O800" s="84">
        <v>60</v>
      </c>
      <c r="P800" s="73">
        <f>27/38</f>
        <v>0.71052631578947367</v>
      </c>
      <c r="Q800" s="84"/>
      <c r="R800" s="74">
        <v>5.2479275134435852</v>
      </c>
      <c r="S800" s="74">
        <v>5.2260285621173752</v>
      </c>
      <c r="T800" s="75"/>
      <c r="U800" s="75"/>
      <c r="V800" s="76"/>
      <c r="W800" s="76"/>
      <c r="X800" s="77"/>
      <c r="Y800" s="78"/>
      <c r="Z800" s="79"/>
      <c r="AA800" s="69"/>
      <c r="AB800" s="68"/>
      <c r="AC800" s="68"/>
      <c r="AD800" s="68"/>
      <c r="AE800" s="80"/>
      <c r="AF800" s="80"/>
      <c r="AG800" s="80"/>
      <c r="AH800" s="80"/>
      <c r="AI800" s="81" t="s">
        <v>558</v>
      </c>
      <c r="AJ800" s="81" t="s">
        <v>556</v>
      </c>
      <c r="AK800" s="81">
        <v>1994</v>
      </c>
      <c r="AL800" s="81" t="s">
        <v>247</v>
      </c>
      <c r="AM800" s="81"/>
    </row>
    <row r="801" spans="1:39" s="82" customFormat="1" x14ac:dyDescent="0.3">
      <c r="A801" s="67">
        <v>92</v>
      </c>
      <c r="B801" s="68"/>
      <c r="C801" s="68"/>
      <c r="D801" s="68">
        <v>1</v>
      </c>
      <c r="E801" s="68">
        <v>40</v>
      </c>
      <c r="F801" s="68">
        <v>0</v>
      </c>
      <c r="G801" s="69"/>
      <c r="H801" s="68">
        <v>60</v>
      </c>
      <c r="I801" s="69">
        <v>5.2479275134435852</v>
      </c>
      <c r="J801" s="69">
        <v>5.2260285621173752</v>
      </c>
      <c r="K801" s="70">
        <v>1</v>
      </c>
      <c r="L801" s="68">
        <v>100</v>
      </c>
      <c r="M801" s="71"/>
      <c r="N801" s="72">
        <v>6</v>
      </c>
      <c r="O801" s="84"/>
      <c r="P801" s="73"/>
      <c r="Q801" s="84"/>
      <c r="R801" s="74"/>
      <c r="S801" s="74"/>
      <c r="T801" s="75"/>
      <c r="U801" s="75"/>
      <c r="V801" s="76"/>
      <c r="W801" s="76"/>
      <c r="X801" s="77"/>
      <c r="Y801" s="78">
        <f>101/189</f>
        <v>0.53439153439153442</v>
      </c>
      <c r="Z801" s="79"/>
      <c r="AA801" s="69"/>
      <c r="AB801" s="68"/>
      <c r="AC801" s="68"/>
      <c r="AD801" s="68"/>
      <c r="AE801" s="80"/>
      <c r="AF801" s="80"/>
      <c r="AG801" s="80"/>
      <c r="AH801" s="80"/>
      <c r="AI801" s="81" t="s">
        <v>558</v>
      </c>
      <c r="AJ801" s="81" t="s">
        <v>556</v>
      </c>
      <c r="AK801" s="81">
        <v>1994</v>
      </c>
      <c r="AL801" s="81" t="s">
        <v>247</v>
      </c>
      <c r="AM801" s="81"/>
    </row>
    <row r="802" spans="1:39" s="82" customFormat="1" x14ac:dyDescent="0.3">
      <c r="A802" s="67">
        <v>92</v>
      </c>
      <c r="B802" s="68"/>
      <c r="C802" s="68"/>
      <c r="D802" s="68">
        <v>1</v>
      </c>
      <c r="E802" s="68">
        <v>40</v>
      </c>
      <c r="F802" s="68">
        <v>1</v>
      </c>
      <c r="G802" s="69">
        <v>6</v>
      </c>
      <c r="H802" s="68">
        <v>60</v>
      </c>
      <c r="I802" s="69">
        <v>5.2479275134435852</v>
      </c>
      <c r="J802" s="69">
        <v>5.2260285621173752</v>
      </c>
      <c r="K802" s="70">
        <v>1</v>
      </c>
      <c r="L802" s="68">
        <v>140</v>
      </c>
      <c r="M802" s="71"/>
      <c r="N802" s="72">
        <v>6</v>
      </c>
      <c r="O802" s="84"/>
      <c r="P802" s="73"/>
      <c r="Q802" s="84"/>
      <c r="R802" s="74"/>
      <c r="S802" s="74"/>
      <c r="T802" s="75">
        <v>8.0443941193584543</v>
      </c>
      <c r="U802" s="75">
        <v>3.7833773125595176</v>
      </c>
      <c r="V802" s="76"/>
      <c r="W802" s="76">
        <f>90/92</f>
        <v>0.97826086956521741</v>
      </c>
      <c r="X802" s="77">
        <v>180</v>
      </c>
      <c r="Y802" s="78">
        <f>23/164</f>
        <v>0.1402439024390244</v>
      </c>
      <c r="Z802" s="79"/>
      <c r="AA802" s="69"/>
      <c r="AB802" s="68"/>
      <c r="AC802" s="68"/>
      <c r="AD802" s="68"/>
      <c r="AE802" s="80"/>
      <c r="AF802" s="80"/>
      <c r="AG802" s="80"/>
      <c r="AH802" s="80"/>
      <c r="AI802" s="81" t="s">
        <v>558</v>
      </c>
      <c r="AJ802" s="81" t="s">
        <v>556</v>
      </c>
      <c r="AK802" s="81">
        <v>1994</v>
      </c>
      <c r="AL802" s="81" t="s">
        <v>247</v>
      </c>
      <c r="AM802" s="81"/>
    </row>
    <row r="803" spans="1:39" s="82" customFormat="1" x14ac:dyDescent="0.3">
      <c r="A803" s="67">
        <v>42</v>
      </c>
      <c r="B803" s="68"/>
      <c r="C803" s="68"/>
      <c r="D803" s="68">
        <v>0</v>
      </c>
      <c r="E803" s="68"/>
      <c r="F803" s="68">
        <v>0</v>
      </c>
      <c r="G803" s="69"/>
      <c r="H803" s="68">
        <v>60</v>
      </c>
      <c r="I803" s="69">
        <v>4.7548875021634682</v>
      </c>
      <c r="J803" s="69">
        <v>3.6273081103506684</v>
      </c>
      <c r="K803" s="70">
        <v>1</v>
      </c>
      <c r="L803" s="68">
        <v>60</v>
      </c>
      <c r="M803" s="71"/>
      <c r="N803" s="72">
        <v>6</v>
      </c>
      <c r="O803" s="84">
        <v>60</v>
      </c>
      <c r="P803" s="73">
        <f>35/42</f>
        <v>0.83333333333333337</v>
      </c>
      <c r="Q803" s="84"/>
      <c r="R803" s="74">
        <v>4.7548875021634682</v>
      </c>
      <c r="S803" s="74">
        <v>3.6273081103506684</v>
      </c>
      <c r="T803" s="75"/>
      <c r="U803" s="75"/>
      <c r="V803" s="76"/>
      <c r="W803" s="76"/>
      <c r="X803" s="77"/>
      <c r="Y803" s="78">
        <f>107/220</f>
        <v>0.48636363636363639</v>
      </c>
      <c r="Z803" s="79"/>
      <c r="AA803" s="69"/>
      <c r="AB803" s="68"/>
      <c r="AC803" s="68"/>
      <c r="AD803" s="68"/>
      <c r="AE803" s="80"/>
      <c r="AF803" s="80"/>
      <c r="AG803" s="80"/>
      <c r="AH803" s="80"/>
      <c r="AI803" s="81" t="s">
        <v>557</v>
      </c>
      <c r="AJ803" s="81" t="s">
        <v>556</v>
      </c>
      <c r="AK803" s="81">
        <v>1994</v>
      </c>
      <c r="AL803" s="81" t="s">
        <v>247</v>
      </c>
      <c r="AM803" s="81"/>
    </row>
    <row r="804" spans="1:39" s="82" customFormat="1" x14ac:dyDescent="0.3">
      <c r="A804" s="67">
        <v>92</v>
      </c>
      <c r="B804" s="68"/>
      <c r="C804" s="68"/>
      <c r="D804" s="68">
        <v>0</v>
      </c>
      <c r="E804" s="68"/>
      <c r="F804" s="68">
        <v>1</v>
      </c>
      <c r="G804" s="69">
        <v>6</v>
      </c>
      <c r="H804" s="68">
        <v>60</v>
      </c>
      <c r="I804" s="69">
        <v>4.7548875021634682</v>
      </c>
      <c r="J804" s="69">
        <v>3.6273081103506684</v>
      </c>
      <c r="K804" s="70">
        <v>1</v>
      </c>
      <c r="L804" s="68">
        <v>100</v>
      </c>
      <c r="M804" s="71"/>
      <c r="N804" s="72">
        <v>6</v>
      </c>
      <c r="O804" s="84"/>
      <c r="P804" s="73"/>
      <c r="Q804" s="84"/>
      <c r="R804" s="74"/>
      <c r="S804" s="74"/>
      <c r="T804" s="75"/>
      <c r="U804" s="75"/>
      <c r="V804" s="76"/>
      <c r="W804" s="76"/>
      <c r="X804" s="77"/>
      <c r="Y804" s="78">
        <f>40/188</f>
        <v>0.21276595744680851</v>
      </c>
      <c r="Z804" s="79"/>
      <c r="AA804" s="69"/>
      <c r="AB804" s="68"/>
      <c r="AC804" s="68"/>
      <c r="AD804" s="68"/>
      <c r="AE804" s="80"/>
      <c r="AF804" s="80"/>
      <c r="AG804" s="80"/>
      <c r="AH804" s="80"/>
      <c r="AI804" s="81" t="s">
        <v>557</v>
      </c>
      <c r="AJ804" s="81" t="s">
        <v>556</v>
      </c>
      <c r="AK804" s="81">
        <v>1994</v>
      </c>
      <c r="AL804" s="81" t="s">
        <v>247</v>
      </c>
      <c r="AM804" s="81"/>
    </row>
    <row r="805" spans="1:39" s="82" customFormat="1" x14ac:dyDescent="0.3">
      <c r="A805" s="67">
        <v>92</v>
      </c>
      <c r="B805" s="68"/>
      <c r="C805" s="68"/>
      <c r="D805" s="68">
        <v>0</v>
      </c>
      <c r="E805" s="68"/>
      <c r="F805" s="68">
        <v>2</v>
      </c>
      <c r="G805" s="69">
        <v>6</v>
      </c>
      <c r="H805" s="68">
        <v>60</v>
      </c>
      <c r="I805" s="69">
        <v>4.7548875021634682</v>
      </c>
      <c r="J805" s="69">
        <v>3.6273081103506684</v>
      </c>
      <c r="K805" s="70">
        <v>1</v>
      </c>
      <c r="L805" s="68">
        <v>140</v>
      </c>
      <c r="M805" s="71"/>
      <c r="N805" s="72">
        <v>6</v>
      </c>
      <c r="O805" s="84"/>
      <c r="P805" s="73"/>
      <c r="Q805" s="84"/>
      <c r="R805" s="74"/>
      <c r="S805" s="74"/>
      <c r="T805" s="75">
        <v>8.5274770060603959</v>
      </c>
      <c r="U805" s="75">
        <v>2.8797347540081835</v>
      </c>
      <c r="V805" s="76"/>
      <c r="W805" s="76">
        <f>91/92</f>
        <v>0.98913043478260865</v>
      </c>
      <c r="X805" s="77">
        <v>180</v>
      </c>
      <c r="Y805" s="78"/>
      <c r="Z805" s="79"/>
      <c r="AA805" s="69"/>
      <c r="AB805" s="68"/>
      <c r="AC805" s="68"/>
      <c r="AD805" s="68"/>
      <c r="AE805" s="80"/>
      <c r="AF805" s="80"/>
      <c r="AG805" s="80"/>
      <c r="AH805" s="80"/>
      <c r="AI805" s="81" t="s">
        <v>557</v>
      </c>
      <c r="AJ805" s="81" t="s">
        <v>556</v>
      </c>
      <c r="AK805" s="81">
        <v>1994</v>
      </c>
      <c r="AL805" s="81" t="s">
        <v>247</v>
      </c>
      <c r="AM805" s="81"/>
    </row>
    <row r="806" spans="1:39" s="82" customFormat="1" x14ac:dyDescent="0.3">
      <c r="A806" s="67">
        <v>38</v>
      </c>
      <c r="B806" s="68"/>
      <c r="C806" s="68"/>
      <c r="D806" s="68">
        <v>0</v>
      </c>
      <c r="E806" s="68"/>
      <c r="F806" s="68">
        <v>0</v>
      </c>
      <c r="G806" s="69"/>
      <c r="H806" s="68">
        <v>60</v>
      </c>
      <c r="I806" s="69">
        <v>4.6438561897747253</v>
      </c>
      <c r="J806" s="69">
        <v>4.321426472433112</v>
      </c>
      <c r="K806" s="70">
        <v>2</v>
      </c>
      <c r="L806" s="68">
        <v>60</v>
      </c>
      <c r="M806" s="71">
        <v>8</v>
      </c>
      <c r="N806" s="72"/>
      <c r="O806" s="84">
        <v>60</v>
      </c>
      <c r="P806" s="73">
        <f>29/38</f>
        <v>0.76315789473684215</v>
      </c>
      <c r="Q806" s="84"/>
      <c r="R806" s="74">
        <v>4.6438561897747253</v>
      </c>
      <c r="S806" s="74">
        <v>4.321426472433112</v>
      </c>
      <c r="T806" s="75"/>
      <c r="U806" s="75"/>
      <c r="V806" s="76"/>
      <c r="W806" s="76"/>
      <c r="X806" s="77"/>
      <c r="Y806" s="78"/>
      <c r="Z806" s="79"/>
      <c r="AA806" s="69"/>
      <c r="AB806" s="68"/>
      <c r="AC806" s="68"/>
      <c r="AD806" s="68"/>
      <c r="AE806" s="80"/>
      <c r="AF806" s="80"/>
      <c r="AG806" s="80"/>
      <c r="AH806" s="80"/>
      <c r="AI806" s="81" t="s">
        <v>558</v>
      </c>
      <c r="AJ806" s="81" t="s">
        <v>556</v>
      </c>
      <c r="AK806" s="81">
        <v>1994</v>
      </c>
      <c r="AL806" s="81" t="s">
        <v>247</v>
      </c>
      <c r="AM806" s="81"/>
    </row>
    <row r="807" spans="1:39" s="82" customFormat="1" x14ac:dyDescent="0.3">
      <c r="A807" s="67">
        <v>92</v>
      </c>
      <c r="B807" s="68"/>
      <c r="C807" s="68"/>
      <c r="D807" s="68">
        <v>1</v>
      </c>
      <c r="E807" s="68">
        <v>8</v>
      </c>
      <c r="F807" s="68">
        <v>0</v>
      </c>
      <c r="G807" s="69"/>
      <c r="H807" s="68">
        <v>60</v>
      </c>
      <c r="I807" s="69">
        <v>4.6438561897747253</v>
      </c>
      <c r="J807" s="69">
        <v>4.321426472433112</v>
      </c>
      <c r="K807" s="70">
        <v>2</v>
      </c>
      <c r="L807" s="68">
        <v>100</v>
      </c>
      <c r="M807" s="71"/>
      <c r="N807" s="72">
        <v>5</v>
      </c>
      <c r="O807" s="84"/>
      <c r="P807" s="73"/>
      <c r="Q807" s="84"/>
      <c r="R807" s="74"/>
      <c r="S807" s="74"/>
      <c r="T807" s="75"/>
      <c r="U807" s="75"/>
      <c r="V807" s="76"/>
      <c r="W807" s="76"/>
      <c r="X807" s="77"/>
      <c r="Y807" s="78">
        <f>96/189</f>
        <v>0.50793650793650791</v>
      </c>
      <c r="Z807" s="79"/>
      <c r="AA807" s="69"/>
      <c r="AB807" s="68"/>
      <c r="AC807" s="68"/>
      <c r="AD807" s="68"/>
      <c r="AE807" s="80"/>
      <c r="AF807" s="80"/>
      <c r="AG807" s="80"/>
      <c r="AH807" s="80"/>
      <c r="AI807" s="81" t="s">
        <v>558</v>
      </c>
      <c r="AJ807" s="81" t="s">
        <v>556</v>
      </c>
      <c r="AK807" s="81">
        <v>1994</v>
      </c>
      <c r="AL807" s="81" t="s">
        <v>247</v>
      </c>
      <c r="AM807" s="81"/>
    </row>
    <row r="808" spans="1:39" s="82" customFormat="1" x14ac:dyDescent="0.3">
      <c r="A808" s="67">
        <v>92</v>
      </c>
      <c r="B808" s="68"/>
      <c r="C808" s="68"/>
      <c r="D808" s="68">
        <v>1</v>
      </c>
      <c r="E808" s="68">
        <v>8</v>
      </c>
      <c r="F808" s="68">
        <v>1</v>
      </c>
      <c r="G808" s="69">
        <v>5</v>
      </c>
      <c r="H808" s="68">
        <v>60</v>
      </c>
      <c r="I808" s="69">
        <v>4.6438561897747253</v>
      </c>
      <c r="J808" s="69">
        <v>4.321426472433112</v>
      </c>
      <c r="K808" s="70">
        <v>2</v>
      </c>
      <c r="L808" s="68">
        <v>140</v>
      </c>
      <c r="M808" s="71"/>
      <c r="N808" s="72">
        <v>5</v>
      </c>
      <c r="O808" s="84"/>
      <c r="P808" s="73"/>
      <c r="Q808" s="84"/>
      <c r="R808" s="74"/>
      <c r="S808" s="74"/>
      <c r="T808" s="75">
        <v>8.5507467853832431</v>
      </c>
      <c r="U808" s="75">
        <v>1.7009325558868646</v>
      </c>
      <c r="V808" s="76"/>
      <c r="W808" s="76">
        <f>89/92</f>
        <v>0.96739130434782605</v>
      </c>
      <c r="X808" s="77">
        <v>180</v>
      </c>
      <c r="Y808" s="78">
        <f>8/164</f>
        <v>4.878048780487805E-2</v>
      </c>
      <c r="Z808" s="79"/>
      <c r="AA808" s="69"/>
      <c r="AB808" s="68"/>
      <c r="AC808" s="68"/>
      <c r="AD808" s="68"/>
      <c r="AE808" s="80"/>
      <c r="AF808" s="80"/>
      <c r="AG808" s="80"/>
      <c r="AH808" s="80"/>
      <c r="AI808" s="81" t="s">
        <v>558</v>
      </c>
      <c r="AJ808" s="81" t="s">
        <v>556</v>
      </c>
      <c r="AK808" s="81">
        <v>1994</v>
      </c>
      <c r="AL808" s="81" t="s">
        <v>247</v>
      </c>
      <c r="AM808" s="81"/>
    </row>
    <row r="809" spans="1:39" s="82" customFormat="1" x14ac:dyDescent="0.3">
      <c r="A809" s="67">
        <v>92</v>
      </c>
      <c r="B809" s="68"/>
      <c r="C809" s="68"/>
      <c r="D809" s="68">
        <v>0</v>
      </c>
      <c r="E809" s="68"/>
      <c r="F809" s="68">
        <v>0</v>
      </c>
      <c r="G809" s="69"/>
      <c r="H809" s="68">
        <v>60</v>
      </c>
      <c r="I809" s="69">
        <v>4.8579809951275719</v>
      </c>
      <c r="J809" s="69">
        <v>3.1315597119090715</v>
      </c>
      <c r="K809" s="70">
        <v>2</v>
      </c>
      <c r="L809" s="68">
        <v>60</v>
      </c>
      <c r="M809" s="71"/>
      <c r="N809" s="72">
        <v>5</v>
      </c>
      <c r="O809" s="84">
        <v>60</v>
      </c>
      <c r="P809" s="73">
        <f>38/42</f>
        <v>0.90476190476190477</v>
      </c>
      <c r="Q809" s="84"/>
      <c r="R809" s="74">
        <v>4.8579809951275719</v>
      </c>
      <c r="S809" s="74">
        <v>3.1315597119090715</v>
      </c>
      <c r="T809" s="75"/>
      <c r="U809" s="75"/>
      <c r="V809" s="76"/>
      <c r="W809" s="76"/>
      <c r="X809" s="77"/>
      <c r="Y809" s="78">
        <f>105/220</f>
        <v>0.47727272727272729</v>
      </c>
      <c r="Z809" s="79"/>
      <c r="AA809" s="69"/>
      <c r="AB809" s="68"/>
      <c r="AC809" s="68"/>
      <c r="AD809" s="68"/>
      <c r="AE809" s="80"/>
      <c r="AF809" s="80"/>
      <c r="AG809" s="80"/>
      <c r="AH809" s="80"/>
      <c r="AI809" s="81" t="s">
        <v>557</v>
      </c>
      <c r="AJ809" s="81" t="s">
        <v>556</v>
      </c>
      <c r="AK809" s="81">
        <v>1994</v>
      </c>
      <c r="AL809" s="81" t="s">
        <v>247</v>
      </c>
      <c r="AM809" s="81"/>
    </row>
    <row r="810" spans="1:39" s="82" customFormat="1" x14ac:dyDescent="0.3">
      <c r="A810" s="67">
        <v>42</v>
      </c>
      <c r="B810" s="68"/>
      <c r="C810" s="68"/>
      <c r="D810" s="68">
        <v>0</v>
      </c>
      <c r="E810" s="68"/>
      <c r="F810" s="68">
        <v>1</v>
      </c>
      <c r="G810" s="69">
        <v>5</v>
      </c>
      <c r="H810" s="68">
        <v>60</v>
      </c>
      <c r="I810" s="69">
        <v>4.8579809951275719</v>
      </c>
      <c r="J810" s="69">
        <v>3.1315597119090715</v>
      </c>
      <c r="K810" s="70">
        <v>2</v>
      </c>
      <c r="L810" s="68">
        <v>100</v>
      </c>
      <c r="M810" s="71"/>
      <c r="N810" s="72">
        <v>5</v>
      </c>
      <c r="O810" s="84"/>
      <c r="P810" s="73"/>
      <c r="Q810" s="84"/>
      <c r="R810" s="74"/>
      <c r="S810" s="74"/>
      <c r="T810" s="75"/>
      <c r="U810" s="75"/>
      <c r="V810" s="76"/>
      <c r="W810" s="76"/>
      <c r="X810" s="77"/>
      <c r="Y810" s="78">
        <f>10/188</f>
        <v>5.3191489361702128E-2</v>
      </c>
      <c r="Z810" s="79"/>
      <c r="AA810" s="69"/>
      <c r="AB810" s="68"/>
      <c r="AC810" s="68"/>
      <c r="AD810" s="68"/>
      <c r="AE810" s="80"/>
      <c r="AF810" s="80"/>
      <c r="AG810" s="80"/>
      <c r="AH810" s="80"/>
      <c r="AI810" s="81" t="s">
        <v>557</v>
      </c>
      <c r="AJ810" s="81" t="s">
        <v>556</v>
      </c>
      <c r="AK810" s="81">
        <v>1994</v>
      </c>
      <c r="AL810" s="81" t="s">
        <v>247</v>
      </c>
      <c r="AM810" s="81"/>
    </row>
    <row r="811" spans="1:39" s="82" customFormat="1" x14ac:dyDescent="0.3">
      <c r="A811" s="67">
        <v>42</v>
      </c>
      <c r="B811" s="68"/>
      <c r="C811" s="68"/>
      <c r="D811" s="68">
        <v>0</v>
      </c>
      <c r="E811" s="68"/>
      <c r="F811" s="68">
        <v>2</v>
      </c>
      <c r="G811" s="69">
        <v>5</v>
      </c>
      <c r="H811" s="68">
        <v>60</v>
      </c>
      <c r="I811" s="69">
        <v>4.8579809951275719</v>
      </c>
      <c r="J811" s="69">
        <v>3.1315597119090715</v>
      </c>
      <c r="K811" s="70">
        <v>2</v>
      </c>
      <c r="L811" s="68">
        <v>140</v>
      </c>
      <c r="M811" s="71"/>
      <c r="N811" s="72">
        <v>5</v>
      </c>
      <c r="O811" s="84"/>
      <c r="P811" s="73"/>
      <c r="Q811" s="84"/>
      <c r="R811" s="74"/>
      <c r="S811" s="74"/>
      <c r="T811" s="75">
        <v>8.6474584264549197</v>
      </c>
      <c r="U811" s="75">
        <v>2.4033014860670345</v>
      </c>
      <c r="V811" s="76"/>
      <c r="W811" s="76">
        <f>88/92</f>
        <v>0.95652173913043481</v>
      </c>
      <c r="X811" s="77">
        <v>180</v>
      </c>
      <c r="Y811" s="78"/>
      <c r="Z811" s="79"/>
      <c r="AA811" s="69"/>
      <c r="AB811" s="68"/>
      <c r="AC811" s="68"/>
      <c r="AD811" s="68"/>
      <c r="AE811" s="80"/>
      <c r="AF811" s="80"/>
      <c r="AG811" s="80"/>
      <c r="AH811" s="80"/>
      <c r="AI811" s="81" t="s">
        <v>557</v>
      </c>
      <c r="AJ811" s="81" t="s">
        <v>556</v>
      </c>
      <c r="AK811" s="81">
        <v>1994</v>
      </c>
      <c r="AL811" s="81" t="s">
        <v>247</v>
      </c>
      <c r="AM811" s="81"/>
    </row>
    <row r="812" spans="1:39" s="82" customFormat="1" x14ac:dyDescent="0.3">
      <c r="A812" s="67">
        <v>38</v>
      </c>
      <c r="B812" s="68"/>
      <c r="C812" s="68"/>
      <c r="D812" s="68">
        <v>0</v>
      </c>
      <c r="E812" s="68"/>
      <c r="F812" s="68">
        <v>0</v>
      </c>
      <c r="G812" s="69"/>
      <c r="H812" s="68">
        <v>60</v>
      </c>
      <c r="I812" s="69">
        <v>3.3219280948873622</v>
      </c>
      <c r="J812" s="69">
        <v>5.5826528259730219</v>
      </c>
      <c r="K812" s="70">
        <v>3</v>
      </c>
      <c r="L812" s="68">
        <v>60</v>
      </c>
      <c r="M812" s="71">
        <v>32</v>
      </c>
      <c r="N812" s="72"/>
      <c r="O812" s="84">
        <v>60</v>
      </c>
      <c r="P812" s="73">
        <f>22/38</f>
        <v>0.57894736842105265</v>
      </c>
      <c r="Q812" s="84"/>
      <c r="R812" s="74">
        <v>3.3219280948873622</v>
      </c>
      <c r="S812" s="74">
        <v>5.5826528259730219</v>
      </c>
      <c r="T812" s="75"/>
      <c r="U812" s="75"/>
      <c r="V812" s="76"/>
      <c r="W812" s="76"/>
      <c r="X812" s="77"/>
      <c r="Y812" s="78"/>
      <c r="Z812" s="79"/>
      <c r="AA812" s="69"/>
      <c r="AB812" s="68"/>
      <c r="AC812" s="68"/>
      <c r="AD812" s="68"/>
      <c r="AE812" s="80"/>
      <c r="AF812" s="80"/>
      <c r="AG812" s="80"/>
      <c r="AH812" s="80"/>
      <c r="AI812" s="81" t="s">
        <v>558</v>
      </c>
      <c r="AJ812" s="81" t="s">
        <v>556</v>
      </c>
      <c r="AK812" s="81">
        <v>1994</v>
      </c>
      <c r="AL812" s="81" t="s">
        <v>247</v>
      </c>
      <c r="AM812" s="81"/>
    </row>
    <row r="813" spans="1:39" s="82" customFormat="1" x14ac:dyDescent="0.3">
      <c r="A813" s="67">
        <v>92</v>
      </c>
      <c r="B813" s="68"/>
      <c r="C813" s="68"/>
      <c r="D813" s="68">
        <v>1</v>
      </c>
      <c r="E813" s="68">
        <v>32</v>
      </c>
      <c r="F813" s="68">
        <v>0</v>
      </c>
      <c r="G813" s="69"/>
      <c r="H813" s="68">
        <v>60</v>
      </c>
      <c r="I813" s="69">
        <v>3.3219280948873622</v>
      </c>
      <c r="J813" s="69">
        <v>5.5826528259730219</v>
      </c>
      <c r="K813" s="70">
        <v>3</v>
      </c>
      <c r="L813" s="68">
        <v>100</v>
      </c>
      <c r="M813" s="71"/>
      <c r="N813" s="72">
        <v>5.5</v>
      </c>
      <c r="O813" s="84"/>
      <c r="P813" s="73"/>
      <c r="Q813" s="84"/>
      <c r="R813" s="74"/>
      <c r="S813" s="74"/>
      <c r="T813" s="75"/>
      <c r="U813" s="75"/>
      <c r="V813" s="76"/>
      <c r="W813" s="76"/>
      <c r="X813" s="77"/>
      <c r="Y813" s="78">
        <f>35/189</f>
        <v>0.18518518518518517</v>
      </c>
      <c r="Z813" s="79"/>
      <c r="AA813" s="69"/>
      <c r="AB813" s="68"/>
      <c r="AC813" s="68"/>
      <c r="AD813" s="68"/>
      <c r="AE813" s="80"/>
      <c r="AF813" s="80"/>
      <c r="AG813" s="80"/>
      <c r="AH813" s="80"/>
      <c r="AI813" s="81" t="s">
        <v>558</v>
      </c>
      <c r="AJ813" s="81" t="s">
        <v>556</v>
      </c>
      <c r="AK813" s="81">
        <v>1994</v>
      </c>
      <c r="AL813" s="81" t="s">
        <v>247</v>
      </c>
      <c r="AM813" s="81"/>
    </row>
    <row r="814" spans="1:39" s="82" customFormat="1" x14ac:dyDescent="0.3">
      <c r="A814" s="67">
        <v>92</v>
      </c>
      <c r="B814" s="68"/>
      <c r="C814" s="68"/>
      <c r="D814" s="68">
        <v>1</v>
      </c>
      <c r="E814" s="68">
        <v>32</v>
      </c>
      <c r="F814" s="68">
        <v>1</v>
      </c>
      <c r="G814" s="69">
        <v>5.5</v>
      </c>
      <c r="H814" s="68">
        <v>60</v>
      </c>
      <c r="I814" s="69">
        <v>3.3219280948873622</v>
      </c>
      <c r="J814" s="69">
        <v>5.5826528259730219</v>
      </c>
      <c r="K814" s="70">
        <v>3</v>
      </c>
      <c r="L814" s="68">
        <v>140</v>
      </c>
      <c r="M814" s="71"/>
      <c r="N814" s="72">
        <v>5.5</v>
      </c>
      <c r="O814" s="84"/>
      <c r="P814" s="73"/>
      <c r="Q814" s="84"/>
      <c r="R814" s="74"/>
      <c r="S814" s="74"/>
      <c r="T814" s="75">
        <v>7.5622424242210728</v>
      </c>
      <c r="U814" s="75">
        <v>3.7921740862669595</v>
      </c>
      <c r="V814" s="76"/>
      <c r="W814" s="76">
        <f>87/92</f>
        <v>0.94565217391304346</v>
      </c>
      <c r="X814" s="77">
        <v>180</v>
      </c>
      <c r="Y814" s="78">
        <f>71/164</f>
        <v>0.43292682926829268</v>
      </c>
      <c r="Z814" s="79"/>
      <c r="AA814" s="69"/>
      <c r="AB814" s="68"/>
      <c r="AC814" s="68"/>
      <c r="AD814" s="68"/>
      <c r="AE814" s="80"/>
      <c r="AF814" s="80"/>
      <c r="AG814" s="80"/>
      <c r="AH814" s="80"/>
      <c r="AI814" s="81" t="s">
        <v>558</v>
      </c>
      <c r="AJ814" s="81" t="s">
        <v>556</v>
      </c>
      <c r="AK814" s="81">
        <v>1994</v>
      </c>
      <c r="AL814" s="81" t="s">
        <v>247</v>
      </c>
      <c r="AM814" s="81"/>
    </row>
    <row r="815" spans="1:39" s="82" customFormat="1" x14ac:dyDescent="0.3">
      <c r="A815" s="67">
        <v>92</v>
      </c>
      <c r="B815" s="68"/>
      <c r="C815" s="68"/>
      <c r="D815" s="68">
        <v>0</v>
      </c>
      <c r="E815" s="68"/>
      <c r="F815" s="68">
        <v>0</v>
      </c>
      <c r="G815" s="69"/>
      <c r="H815" s="68">
        <v>60</v>
      </c>
      <c r="I815" s="69">
        <v>3.5849625007211565</v>
      </c>
      <c r="J815" s="69">
        <v>3.7410473095839869</v>
      </c>
      <c r="K815" s="70">
        <v>3</v>
      </c>
      <c r="L815" s="68">
        <v>60</v>
      </c>
      <c r="M815" s="71"/>
      <c r="N815" s="72">
        <v>5.5</v>
      </c>
      <c r="O815" s="84">
        <v>60</v>
      </c>
      <c r="P815" s="73">
        <f>27/42</f>
        <v>0.6428571428571429</v>
      </c>
      <c r="Q815" s="84"/>
      <c r="R815" s="74">
        <v>3.5849625007211565</v>
      </c>
      <c r="S815" s="74">
        <v>3.7410473095839869</v>
      </c>
      <c r="T815" s="75"/>
      <c r="U815" s="75"/>
      <c r="V815" s="76"/>
      <c r="W815" s="76"/>
      <c r="X815" s="77"/>
      <c r="Y815" s="78">
        <f>27/220</f>
        <v>0.12272727272727273</v>
      </c>
      <c r="Z815" s="79"/>
      <c r="AA815" s="69"/>
      <c r="AB815" s="68"/>
      <c r="AC815" s="68"/>
      <c r="AD815" s="68"/>
      <c r="AE815" s="80"/>
      <c r="AF815" s="80"/>
      <c r="AG815" s="80"/>
      <c r="AH815" s="80"/>
      <c r="AI815" s="81" t="s">
        <v>557</v>
      </c>
      <c r="AJ815" s="81" t="s">
        <v>556</v>
      </c>
      <c r="AK815" s="81">
        <v>1994</v>
      </c>
      <c r="AL815" s="81" t="s">
        <v>247</v>
      </c>
      <c r="AM815" s="81"/>
    </row>
    <row r="816" spans="1:39" s="82" customFormat="1" x14ac:dyDescent="0.3">
      <c r="A816" s="67">
        <v>92</v>
      </c>
      <c r="B816" s="68"/>
      <c r="C816" s="68"/>
      <c r="D816" s="68">
        <v>0</v>
      </c>
      <c r="E816" s="68"/>
      <c r="F816" s="68">
        <v>1</v>
      </c>
      <c r="G816" s="69">
        <v>5.5</v>
      </c>
      <c r="H816" s="68">
        <v>60</v>
      </c>
      <c r="I816" s="69">
        <v>3.5849625007211565</v>
      </c>
      <c r="J816" s="69">
        <v>3.7410473095839869</v>
      </c>
      <c r="K816" s="70">
        <v>3</v>
      </c>
      <c r="L816" s="68">
        <v>100</v>
      </c>
      <c r="M816" s="71"/>
      <c r="N816" s="72">
        <v>5.5</v>
      </c>
      <c r="O816" s="84"/>
      <c r="P816" s="73"/>
      <c r="Q816" s="84"/>
      <c r="R816" s="74"/>
      <c r="S816" s="74"/>
      <c r="T816" s="75"/>
      <c r="U816" s="75"/>
      <c r="V816" s="76"/>
      <c r="W816" s="76"/>
      <c r="X816" s="77"/>
      <c r="Y816" s="78">
        <f>109/188</f>
        <v>0.57978723404255317</v>
      </c>
      <c r="Z816" s="79"/>
      <c r="AA816" s="69"/>
      <c r="AB816" s="68"/>
      <c r="AC816" s="68"/>
      <c r="AD816" s="68"/>
      <c r="AE816" s="80"/>
      <c r="AF816" s="80"/>
      <c r="AG816" s="80"/>
      <c r="AH816" s="80"/>
      <c r="AI816" s="81" t="s">
        <v>557</v>
      </c>
      <c r="AJ816" s="81" t="s">
        <v>556</v>
      </c>
      <c r="AK816" s="81">
        <v>1994</v>
      </c>
      <c r="AL816" s="81" t="s">
        <v>247</v>
      </c>
      <c r="AM816" s="81"/>
    </row>
    <row r="817" spans="1:39" s="82" customFormat="1" x14ac:dyDescent="0.3">
      <c r="A817" s="67">
        <v>92</v>
      </c>
      <c r="B817" s="68"/>
      <c r="C817" s="68"/>
      <c r="D817" s="68">
        <v>0</v>
      </c>
      <c r="E817" s="68"/>
      <c r="F817" s="68">
        <v>2</v>
      </c>
      <c r="G817" s="69">
        <v>5.5</v>
      </c>
      <c r="H817" s="68">
        <v>60</v>
      </c>
      <c r="I817" s="69">
        <v>3.5849625007211565</v>
      </c>
      <c r="J817" s="69">
        <v>3.7410473095839869</v>
      </c>
      <c r="K817" s="70">
        <v>3</v>
      </c>
      <c r="L817" s="68">
        <v>140</v>
      </c>
      <c r="M817" s="71"/>
      <c r="N817" s="72">
        <v>5.5</v>
      </c>
      <c r="O817" s="84"/>
      <c r="P817" s="73"/>
      <c r="Q817" s="84"/>
      <c r="R817" s="74"/>
      <c r="S817" s="74"/>
      <c r="T817" s="75">
        <v>7.6865005271832176</v>
      </c>
      <c r="U817" s="75">
        <v>3.6976249208452452</v>
      </c>
      <c r="V817" s="76"/>
      <c r="W817" s="76">
        <f>92/92</f>
        <v>1</v>
      </c>
      <c r="X817" s="77">
        <v>180</v>
      </c>
      <c r="Y817" s="78"/>
      <c r="Z817" s="79"/>
      <c r="AA817" s="69"/>
      <c r="AB817" s="68"/>
      <c r="AC817" s="68"/>
      <c r="AD817" s="68"/>
      <c r="AE817" s="80"/>
      <c r="AF817" s="80"/>
      <c r="AG817" s="80"/>
      <c r="AH817" s="80"/>
      <c r="AI817" s="81" t="s">
        <v>557</v>
      </c>
      <c r="AJ817" s="81" t="s">
        <v>556</v>
      </c>
      <c r="AK817" s="81">
        <v>1994</v>
      </c>
      <c r="AL817" s="81" t="s">
        <v>247</v>
      </c>
      <c r="AM817" s="81"/>
    </row>
    <row r="818" spans="1:39" s="82" customFormat="1" x14ac:dyDescent="0.3">
      <c r="A818" s="67">
        <v>187</v>
      </c>
      <c r="B818" s="68"/>
      <c r="C818" s="68"/>
      <c r="D818" s="68">
        <v>0</v>
      </c>
      <c r="E818" s="92"/>
      <c r="F818" s="68">
        <v>0</v>
      </c>
      <c r="G818" s="69"/>
      <c r="H818" s="68">
        <v>0</v>
      </c>
      <c r="I818" s="69">
        <v>4.8</v>
      </c>
      <c r="J818" s="69">
        <v>6.8</v>
      </c>
      <c r="K818" s="70">
        <v>1</v>
      </c>
      <c r="L818" s="68">
        <v>42</v>
      </c>
      <c r="M818" s="71">
        <v>8</v>
      </c>
      <c r="N818" s="72"/>
      <c r="O818" s="84">
        <v>42</v>
      </c>
      <c r="P818" s="73"/>
      <c r="Q818" s="84">
        <v>1</v>
      </c>
      <c r="R818" s="74">
        <v>3.3107298882823333</v>
      </c>
      <c r="S818" s="74">
        <v>1</v>
      </c>
      <c r="T818" s="75">
        <v>2.851298269645036</v>
      </c>
      <c r="U818" s="75">
        <f>7.9*(V818^2)</f>
        <v>1.8201600000000002E-2</v>
      </c>
      <c r="V818" s="76">
        <v>4.8000000000000001E-2</v>
      </c>
      <c r="W818" s="76"/>
      <c r="X818" s="77">
        <v>70</v>
      </c>
      <c r="Y818" s="78"/>
      <c r="Z818" s="79"/>
      <c r="AA818" s="69"/>
      <c r="AB818" s="68"/>
      <c r="AC818" s="68"/>
      <c r="AD818" s="68"/>
      <c r="AE818" s="80"/>
      <c r="AF818" s="80"/>
      <c r="AG818" s="80" t="s">
        <v>394</v>
      </c>
      <c r="AH818" s="80"/>
      <c r="AI818" s="81" t="s">
        <v>392</v>
      </c>
      <c r="AJ818" s="81" t="s">
        <v>393</v>
      </c>
      <c r="AK818" s="81">
        <v>2010</v>
      </c>
      <c r="AL818" s="81" t="s">
        <v>53</v>
      </c>
      <c r="AM818" s="81" t="s">
        <v>435</v>
      </c>
    </row>
    <row r="819" spans="1:39" s="82" customFormat="1" x14ac:dyDescent="0.3">
      <c r="A819" s="67">
        <v>187</v>
      </c>
      <c r="B819" s="68"/>
      <c r="C819" s="68"/>
      <c r="D819" s="68">
        <v>1</v>
      </c>
      <c r="E819" s="92">
        <v>8</v>
      </c>
      <c r="F819" s="68">
        <v>0</v>
      </c>
      <c r="G819" s="69"/>
      <c r="H819" s="68">
        <v>0</v>
      </c>
      <c r="I819" s="69">
        <v>4.8</v>
      </c>
      <c r="J819" s="69">
        <v>6.8</v>
      </c>
      <c r="K819" s="70">
        <v>1</v>
      </c>
      <c r="L819" s="68">
        <v>70</v>
      </c>
      <c r="M819" s="71">
        <v>8</v>
      </c>
      <c r="N819" s="72"/>
      <c r="O819" s="84">
        <v>70</v>
      </c>
      <c r="P819" s="73"/>
      <c r="Q819" s="84">
        <v>1</v>
      </c>
      <c r="R819" s="74">
        <v>2.851298269645036</v>
      </c>
      <c r="S819" s="74">
        <f>U818</f>
        <v>1.8201600000000002E-2</v>
      </c>
      <c r="T819" s="75">
        <v>3.3107298882823333</v>
      </c>
      <c r="U819" s="75">
        <f>7.9*(V819^2)</f>
        <v>0.43999840000000001</v>
      </c>
      <c r="V819" s="76">
        <v>0.23599999999999999</v>
      </c>
      <c r="W819" s="76"/>
      <c r="X819" s="77">
        <v>98</v>
      </c>
      <c r="Y819" s="78"/>
      <c r="Z819" s="79"/>
      <c r="AA819" s="69"/>
      <c r="AB819" s="68"/>
      <c r="AC819" s="68"/>
      <c r="AD819" s="68"/>
      <c r="AE819" s="80"/>
      <c r="AF819" s="80"/>
      <c r="AG819" s="80" t="s">
        <v>394</v>
      </c>
      <c r="AH819" s="80"/>
      <c r="AI819" s="81" t="s">
        <v>392</v>
      </c>
      <c r="AJ819" s="81" t="s">
        <v>393</v>
      </c>
      <c r="AK819" s="81">
        <v>2010</v>
      </c>
      <c r="AL819" s="81" t="s">
        <v>53</v>
      </c>
      <c r="AM819" s="81"/>
    </row>
    <row r="820" spans="1:39" s="82" customFormat="1" x14ac:dyDescent="0.3">
      <c r="A820" s="67">
        <v>187</v>
      </c>
      <c r="B820" s="68"/>
      <c r="C820" s="68"/>
      <c r="D820" s="68">
        <v>2</v>
      </c>
      <c r="E820" s="92">
        <v>8</v>
      </c>
      <c r="F820" s="68">
        <v>0</v>
      </c>
      <c r="G820" s="69"/>
      <c r="H820" s="68">
        <v>0</v>
      </c>
      <c r="I820" s="69">
        <v>4.8</v>
      </c>
      <c r="J820" s="69">
        <v>6.8</v>
      </c>
      <c r="K820" s="70">
        <v>1</v>
      </c>
      <c r="L820" s="68">
        <v>98</v>
      </c>
      <c r="M820" s="71">
        <v>8</v>
      </c>
      <c r="N820" s="72"/>
      <c r="O820" s="84">
        <v>98</v>
      </c>
      <c r="P820" s="73"/>
      <c r="Q820" s="84">
        <v>1</v>
      </c>
      <c r="R820" s="74">
        <v>3.3107298882823333</v>
      </c>
      <c r="S820" s="74">
        <f>U819</f>
        <v>0.43999840000000001</v>
      </c>
      <c r="T820" s="75">
        <v>4.2</v>
      </c>
      <c r="U820" s="75">
        <f>0.5*(W820^2)</f>
        <v>0.1399205</v>
      </c>
      <c r="V820" s="76">
        <v>0.27900000000000003</v>
      </c>
      <c r="W820" s="76">
        <v>0.52900000000000003</v>
      </c>
      <c r="X820" s="77">
        <v>126</v>
      </c>
      <c r="Y820" s="78"/>
      <c r="Z820" s="79"/>
      <c r="AA820" s="69"/>
      <c r="AB820" s="68"/>
      <c r="AC820" s="68"/>
      <c r="AD820" s="68"/>
      <c r="AE820" s="80"/>
      <c r="AF820" s="80"/>
      <c r="AG820" s="80" t="s">
        <v>394</v>
      </c>
      <c r="AH820" s="80"/>
      <c r="AI820" s="81" t="s">
        <v>392</v>
      </c>
      <c r="AJ820" s="81" t="s">
        <v>393</v>
      </c>
      <c r="AK820" s="81">
        <v>2010</v>
      </c>
      <c r="AL820" s="81" t="s">
        <v>53</v>
      </c>
      <c r="AM820" s="81"/>
    </row>
    <row r="821" spans="1:39" s="82" customFormat="1" x14ac:dyDescent="0.3">
      <c r="A821" s="67">
        <v>177</v>
      </c>
      <c r="B821" s="68"/>
      <c r="C821" s="68"/>
      <c r="D821" s="68">
        <v>0</v>
      </c>
      <c r="E821" s="92"/>
      <c r="F821" s="68">
        <v>0</v>
      </c>
      <c r="G821" s="69"/>
      <c r="H821" s="68">
        <v>0</v>
      </c>
      <c r="I821" s="69">
        <v>5.2</v>
      </c>
      <c r="J821" s="69">
        <v>12.3</v>
      </c>
      <c r="K821" s="70">
        <v>1</v>
      </c>
      <c r="L821" s="68">
        <v>42</v>
      </c>
      <c r="M821" s="71">
        <v>40</v>
      </c>
      <c r="N821" s="72"/>
      <c r="O821" s="84">
        <v>42</v>
      </c>
      <c r="P821" s="73"/>
      <c r="Q821" s="84">
        <v>1</v>
      </c>
      <c r="R821" s="74">
        <v>3.658653191704925</v>
      </c>
      <c r="S821" s="74">
        <v>0.49094698636837203</v>
      </c>
      <c r="T821" s="75">
        <v>3.658653191704925</v>
      </c>
      <c r="U821" s="75">
        <f>1.98*(V821^2)</f>
        <v>7.2990719999999995E-2</v>
      </c>
      <c r="V821" s="76">
        <v>0.192</v>
      </c>
      <c r="W821" s="76"/>
      <c r="X821" s="77">
        <v>70</v>
      </c>
      <c r="Y821" s="78"/>
      <c r="Z821" s="79"/>
      <c r="AA821" s="69"/>
      <c r="AB821" s="68"/>
      <c r="AC821" s="68"/>
      <c r="AD821" s="68"/>
      <c r="AE821" s="80"/>
      <c r="AF821" s="80"/>
      <c r="AG821" s="80" t="s">
        <v>395</v>
      </c>
      <c r="AH821" s="80"/>
      <c r="AI821" s="81" t="s">
        <v>391</v>
      </c>
      <c r="AJ821" s="81" t="s">
        <v>393</v>
      </c>
      <c r="AK821" s="81">
        <v>2010</v>
      </c>
      <c r="AL821" s="81" t="s">
        <v>53</v>
      </c>
      <c r="AM821" s="81"/>
    </row>
    <row r="822" spans="1:39" s="82" customFormat="1" x14ac:dyDescent="0.3">
      <c r="A822" s="67">
        <v>177</v>
      </c>
      <c r="B822" s="68"/>
      <c r="C822" s="68"/>
      <c r="D822" s="68">
        <v>1</v>
      </c>
      <c r="E822" s="92">
        <v>40</v>
      </c>
      <c r="F822" s="68">
        <v>0</v>
      </c>
      <c r="G822" s="69"/>
      <c r="H822" s="68">
        <v>0</v>
      </c>
      <c r="I822" s="69">
        <v>5.2</v>
      </c>
      <c r="J822" s="69">
        <v>12.3</v>
      </c>
      <c r="K822" s="70">
        <v>1</v>
      </c>
      <c r="L822" s="68">
        <v>70</v>
      </c>
      <c r="M822" s="71">
        <v>40</v>
      </c>
      <c r="N822" s="72"/>
      <c r="O822" s="84">
        <v>70</v>
      </c>
      <c r="P822" s="73"/>
      <c r="Q822" s="84">
        <v>1</v>
      </c>
      <c r="R822" s="74">
        <v>3.658653191704925</v>
      </c>
      <c r="S822" s="74">
        <f>U821</f>
        <v>7.2990719999999995E-2</v>
      </c>
      <c r="T822" s="75">
        <v>5.4660081137592655</v>
      </c>
      <c r="U822" s="75">
        <f>4.11*(V822^2)</f>
        <v>1.2252567600000004</v>
      </c>
      <c r="V822" s="76">
        <v>0.54600000000000004</v>
      </c>
      <c r="W822" s="76"/>
      <c r="X822" s="77">
        <v>98</v>
      </c>
      <c r="Y822" s="78"/>
      <c r="Z822" s="79"/>
      <c r="AA822" s="69"/>
      <c r="AB822" s="68"/>
      <c r="AC822" s="68"/>
      <c r="AD822" s="68"/>
      <c r="AE822" s="80"/>
      <c r="AF822" s="80"/>
      <c r="AG822" s="80" t="s">
        <v>395</v>
      </c>
      <c r="AH822" s="80"/>
      <c r="AI822" s="81" t="s">
        <v>391</v>
      </c>
      <c r="AJ822" s="81" t="s">
        <v>393</v>
      </c>
      <c r="AK822" s="81">
        <v>2010</v>
      </c>
      <c r="AL822" s="81" t="s">
        <v>53</v>
      </c>
      <c r="AM822" s="81"/>
    </row>
    <row r="823" spans="1:39" s="82" customFormat="1" x14ac:dyDescent="0.3">
      <c r="A823" s="67">
        <v>177</v>
      </c>
      <c r="B823" s="68"/>
      <c r="C823" s="68"/>
      <c r="D823" s="68">
        <v>2</v>
      </c>
      <c r="E823" s="92">
        <v>40</v>
      </c>
      <c r="F823" s="68">
        <v>0</v>
      </c>
      <c r="G823" s="69"/>
      <c r="H823" s="68">
        <v>0</v>
      </c>
      <c r="I823" s="69">
        <v>5.2</v>
      </c>
      <c r="J823" s="69">
        <v>12.3</v>
      </c>
      <c r="K823" s="70">
        <v>1</v>
      </c>
      <c r="L823" s="68">
        <v>98</v>
      </c>
      <c r="M823" s="71">
        <v>40</v>
      </c>
      <c r="N823" s="72"/>
      <c r="O823" s="84">
        <v>98</v>
      </c>
      <c r="P823" s="73"/>
      <c r="Q823" s="84">
        <v>1</v>
      </c>
      <c r="R823" s="74">
        <v>5.4660081137592655</v>
      </c>
      <c r="S823" s="74">
        <f>U822</f>
        <v>1.2252567600000004</v>
      </c>
      <c r="T823" s="75">
        <v>6.4</v>
      </c>
      <c r="U823" s="75">
        <f>8.8*(W823^2)</f>
        <v>7.0175512000000015</v>
      </c>
      <c r="V823" s="76">
        <v>0.44600000000000001</v>
      </c>
      <c r="W823" s="76">
        <v>0.89300000000000002</v>
      </c>
      <c r="X823" s="77">
        <v>126</v>
      </c>
      <c r="Y823" s="78"/>
      <c r="Z823" s="79"/>
      <c r="AA823" s="69"/>
      <c r="AB823" s="68"/>
      <c r="AC823" s="68"/>
      <c r="AD823" s="68"/>
      <c r="AE823" s="80"/>
      <c r="AF823" s="80"/>
      <c r="AG823" s="80" t="s">
        <v>395</v>
      </c>
      <c r="AH823" s="80"/>
      <c r="AI823" s="81" t="s">
        <v>391</v>
      </c>
      <c r="AJ823" s="81" t="s">
        <v>393</v>
      </c>
      <c r="AK823" s="81">
        <v>2010</v>
      </c>
      <c r="AL823" s="81" t="s">
        <v>53</v>
      </c>
      <c r="AM823" s="81"/>
    </row>
    <row r="824" spans="1:39" s="82" customFormat="1" x14ac:dyDescent="0.3">
      <c r="A824" s="67">
        <v>187</v>
      </c>
      <c r="B824" s="68"/>
      <c r="C824" s="68"/>
      <c r="D824" s="68">
        <v>0</v>
      </c>
      <c r="E824" s="92"/>
      <c r="F824" s="68">
        <v>0</v>
      </c>
      <c r="G824" s="69"/>
      <c r="H824" s="68">
        <v>0</v>
      </c>
      <c r="I824" s="69">
        <v>4.5</v>
      </c>
      <c r="J824" s="69">
        <v>3.6</v>
      </c>
      <c r="K824" s="70">
        <v>2</v>
      </c>
      <c r="L824" s="68">
        <v>42</v>
      </c>
      <c r="M824" s="71">
        <f>8/5</f>
        <v>1.6</v>
      </c>
      <c r="N824" s="72"/>
      <c r="O824" s="84">
        <v>42</v>
      </c>
      <c r="P824" s="73"/>
      <c r="Q824" s="84">
        <v>1</v>
      </c>
      <c r="R824" s="74">
        <v>3.1658088929702455</v>
      </c>
      <c r="S824" s="74">
        <v>1</v>
      </c>
      <c r="T824" s="75">
        <v>3.3033124167193031</v>
      </c>
      <c r="U824" s="75">
        <f>3.4*(V824^2)</f>
        <v>0.1188946</v>
      </c>
      <c r="V824" s="76">
        <v>0.187</v>
      </c>
      <c r="W824" s="76"/>
      <c r="X824" s="77">
        <v>70</v>
      </c>
      <c r="Y824" s="78"/>
      <c r="Z824" s="79"/>
      <c r="AA824" s="69"/>
      <c r="AB824" s="68"/>
      <c r="AC824" s="68"/>
      <c r="AD824" s="68"/>
      <c r="AE824" s="80"/>
      <c r="AF824" s="80"/>
      <c r="AG824" s="80" t="s">
        <v>394</v>
      </c>
      <c r="AH824" s="80"/>
      <c r="AI824" s="81" t="s">
        <v>392</v>
      </c>
      <c r="AJ824" s="81" t="s">
        <v>393</v>
      </c>
      <c r="AK824" s="81">
        <v>2010</v>
      </c>
      <c r="AL824" s="81" t="s">
        <v>53</v>
      </c>
      <c r="AM824" s="81"/>
    </row>
    <row r="825" spans="1:39" s="82" customFormat="1" x14ac:dyDescent="0.3">
      <c r="A825" s="67">
        <v>187</v>
      </c>
      <c r="B825" s="68"/>
      <c r="C825" s="68"/>
      <c r="D825" s="68">
        <v>1</v>
      </c>
      <c r="E825" s="92">
        <f>8/5</f>
        <v>1.6</v>
      </c>
      <c r="F825" s="68">
        <v>0</v>
      </c>
      <c r="G825" s="69"/>
      <c r="H825" s="68">
        <v>0</v>
      </c>
      <c r="I825" s="69">
        <v>4.5</v>
      </c>
      <c r="J825" s="69">
        <v>3.6</v>
      </c>
      <c r="K825" s="70">
        <v>2</v>
      </c>
      <c r="L825" s="68">
        <v>70</v>
      </c>
      <c r="M825" s="71">
        <f>8/5</f>
        <v>1.6</v>
      </c>
      <c r="N825" s="72"/>
      <c r="O825" s="84">
        <v>70</v>
      </c>
      <c r="P825" s="73"/>
      <c r="Q825" s="84">
        <v>1</v>
      </c>
      <c r="R825" s="74">
        <v>3.3033124167193031</v>
      </c>
      <c r="S825" s="74">
        <f>U824</f>
        <v>0.1188946</v>
      </c>
      <c r="T825" s="75">
        <v>4.0918083115278225</v>
      </c>
      <c r="U825" s="75">
        <f>7.4*(V825^2)</f>
        <v>1.4785866000000001</v>
      </c>
      <c r="V825" s="76">
        <v>0.44700000000000001</v>
      </c>
      <c r="W825" s="76"/>
      <c r="X825" s="77">
        <v>98</v>
      </c>
      <c r="Y825" s="78"/>
      <c r="Z825" s="79"/>
      <c r="AA825" s="69"/>
      <c r="AB825" s="68"/>
      <c r="AC825" s="68"/>
      <c r="AD825" s="68"/>
      <c r="AE825" s="80"/>
      <c r="AF825" s="80"/>
      <c r="AG825" s="80" t="s">
        <v>394</v>
      </c>
      <c r="AH825" s="80"/>
      <c r="AI825" s="81" t="s">
        <v>392</v>
      </c>
      <c r="AJ825" s="81" t="s">
        <v>393</v>
      </c>
      <c r="AK825" s="81">
        <v>2010</v>
      </c>
      <c r="AL825" s="81" t="s">
        <v>53</v>
      </c>
      <c r="AM825" s="81"/>
    </row>
    <row r="826" spans="1:39" s="82" customFormat="1" x14ac:dyDescent="0.3">
      <c r="A826" s="67">
        <v>187</v>
      </c>
      <c r="B826" s="68"/>
      <c r="C826" s="68"/>
      <c r="D826" s="68">
        <v>2</v>
      </c>
      <c r="E826" s="92">
        <f>8/5</f>
        <v>1.6</v>
      </c>
      <c r="F826" s="68">
        <v>0</v>
      </c>
      <c r="G826" s="69"/>
      <c r="H826" s="68">
        <v>0</v>
      </c>
      <c r="I826" s="69">
        <v>4.5</v>
      </c>
      <c r="J826" s="69">
        <v>3.6</v>
      </c>
      <c r="K826" s="70">
        <v>2</v>
      </c>
      <c r="L826" s="68">
        <v>98</v>
      </c>
      <c r="M826" s="71">
        <f>8/5</f>
        <v>1.6</v>
      </c>
      <c r="N826" s="72"/>
      <c r="O826" s="84">
        <v>98</v>
      </c>
      <c r="P826" s="73"/>
      <c r="Q826" s="84">
        <v>1</v>
      </c>
      <c r="R826" s="74">
        <v>4.0918083115278225</v>
      </c>
      <c r="S826" s="74">
        <f>U825</f>
        <v>1.4785866000000001</v>
      </c>
      <c r="T826" s="75">
        <v>5.5</v>
      </c>
      <c r="U826" s="75">
        <f>0.8*(W826^2)</f>
        <v>0.57799999999999996</v>
      </c>
      <c r="V826" s="76">
        <v>0.63100000000000001</v>
      </c>
      <c r="W826" s="76">
        <v>0.85</v>
      </c>
      <c r="X826" s="77">
        <v>126</v>
      </c>
      <c r="Y826" s="78"/>
      <c r="Z826" s="79"/>
      <c r="AA826" s="69"/>
      <c r="AB826" s="68"/>
      <c r="AC826" s="68"/>
      <c r="AD826" s="68"/>
      <c r="AE826" s="80"/>
      <c r="AF826" s="80"/>
      <c r="AG826" s="80" t="s">
        <v>394</v>
      </c>
      <c r="AH826" s="80"/>
      <c r="AI826" s="81" t="s">
        <v>392</v>
      </c>
      <c r="AJ826" s="81" t="s">
        <v>393</v>
      </c>
      <c r="AK826" s="81">
        <v>2010</v>
      </c>
      <c r="AL826" s="81" t="s">
        <v>53</v>
      </c>
      <c r="AM826" s="81"/>
    </row>
    <row r="827" spans="1:39" s="82" customFormat="1" x14ac:dyDescent="0.3">
      <c r="A827" s="67">
        <v>177</v>
      </c>
      <c r="B827" s="68"/>
      <c r="C827" s="68"/>
      <c r="D827" s="68">
        <v>0</v>
      </c>
      <c r="E827" s="92"/>
      <c r="F827" s="68">
        <v>0</v>
      </c>
      <c r="G827" s="69"/>
      <c r="H827" s="68">
        <v>0</v>
      </c>
      <c r="I827" s="69">
        <v>5.2</v>
      </c>
      <c r="J827" s="69">
        <v>6.3</v>
      </c>
      <c r="K827" s="70">
        <v>2</v>
      </c>
      <c r="L827" s="68">
        <v>42</v>
      </c>
      <c r="M827" s="71">
        <v>8</v>
      </c>
      <c r="N827" s="72"/>
      <c r="O827" s="84">
        <v>42</v>
      </c>
      <c r="P827" s="73"/>
      <c r="Q827" s="84">
        <v>1</v>
      </c>
      <c r="R827" s="74">
        <v>3.5443205162279323</v>
      </c>
      <c r="S827" s="74">
        <v>1</v>
      </c>
      <c r="T827" s="75">
        <v>3.6512357201400283</v>
      </c>
      <c r="U827" s="75">
        <f>8.28*(V827^2)</f>
        <v>1.0493740799999998</v>
      </c>
      <c r="V827" s="76">
        <v>0.35599999999999998</v>
      </c>
      <c r="W827" s="76"/>
      <c r="X827" s="77">
        <v>70</v>
      </c>
      <c r="Y827" s="78"/>
      <c r="Z827" s="79"/>
      <c r="AA827" s="69"/>
      <c r="AB827" s="68"/>
      <c r="AC827" s="68"/>
      <c r="AD827" s="68"/>
      <c r="AE827" s="80"/>
      <c r="AF827" s="80"/>
      <c r="AG827" s="80" t="s">
        <v>395</v>
      </c>
      <c r="AH827" s="80"/>
      <c r="AI827" s="81" t="s">
        <v>391</v>
      </c>
      <c r="AJ827" s="81" t="s">
        <v>393</v>
      </c>
      <c r="AK827" s="81">
        <v>2010</v>
      </c>
      <c r="AL827" s="81" t="s">
        <v>53</v>
      </c>
      <c r="AM827" s="81"/>
    </row>
    <row r="828" spans="1:39" s="82" customFormat="1" x14ac:dyDescent="0.3">
      <c r="A828" s="67">
        <v>177</v>
      </c>
      <c r="B828" s="68"/>
      <c r="C828" s="68"/>
      <c r="D828" s="68">
        <v>1</v>
      </c>
      <c r="E828" s="92">
        <v>8</v>
      </c>
      <c r="F828" s="68">
        <v>0</v>
      </c>
      <c r="G828" s="69"/>
      <c r="H828" s="68">
        <v>0</v>
      </c>
      <c r="I828" s="69">
        <v>5.2</v>
      </c>
      <c r="J828" s="69">
        <v>6.3</v>
      </c>
      <c r="K828" s="70">
        <v>2</v>
      </c>
      <c r="L828" s="68">
        <v>70</v>
      </c>
      <c r="M828" s="71">
        <v>8</v>
      </c>
      <c r="N828" s="72"/>
      <c r="O828" s="84">
        <v>70</v>
      </c>
      <c r="P828" s="73"/>
      <c r="Q828" s="84">
        <v>1</v>
      </c>
      <c r="R828" s="74">
        <v>3.6512357201400283</v>
      </c>
      <c r="S828" s="74">
        <f>U827</f>
        <v>1.0493740799999998</v>
      </c>
      <c r="T828" s="75">
        <v>7.0138057995276073</v>
      </c>
      <c r="U828" s="75">
        <f>10.5*(V828^2)</f>
        <v>4.0753545000000004</v>
      </c>
      <c r="V828" s="76">
        <v>0.623</v>
      </c>
      <c r="W828" s="76"/>
      <c r="X828" s="77">
        <v>98</v>
      </c>
      <c r="Y828" s="78"/>
      <c r="Z828" s="79"/>
      <c r="AA828" s="69"/>
      <c r="AB828" s="68"/>
      <c r="AC828" s="68"/>
      <c r="AD828" s="68"/>
      <c r="AE828" s="80"/>
      <c r="AF828" s="80"/>
      <c r="AG828" s="80" t="s">
        <v>395</v>
      </c>
      <c r="AH828" s="80"/>
      <c r="AI828" s="81" t="s">
        <v>391</v>
      </c>
      <c r="AJ828" s="81" t="s">
        <v>393</v>
      </c>
      <c r="AK828" s="81">
        <v>2010</v>
      </c>
      <c r="AL828" s="81" t="s">
        <v>53</v>
      </c>
      <c r="AM828" s="81"/>
    </row>
    <row r="829" spans="1:39" s="82" customFormat="1" x14ac:dyDescent="0.3">
      <c r="A829" s="67">
        <v>177</v>
      </c>
      <c r="B829" s="68"/>
      <c r="C829" s="68"/>
      <c r="D829" s="68">
        <v>2</v>
      </c>
      <c r="E829" s="92">
        <v>8</v>
      </c>
      <c r="F829" s="68">
        <v>0</v>
      </c>
      <c r="G829" s="69"/>
      <c r="H829" s="68">
        <v>0</v>
      </c>
      <c r="I829" s="69">
        <v>5.2</v>
      </c>
      <c r="J829" s="69">
        <v>6.3</v>
      </c>
      <c r="K829" s="70">
        <v>2</v>
      </c>
      <c r="L829" s="68">
        <v>98</v>
      </c>
      <c r="M829" s="71">
        <v>8</v>
      </c>
      <c r="N829" s="72"/>
      <c r="O829" s="84">
        <v>98</v>
      </c>
      <c r="P829" s="73"/>
      <c r="Q829" s="84">
        <v>1</v>
      </c>
      <c r="R829" s="74">
        <v>7.0138057995276073</v>
      </c>
      <c r="S829" s="74">
        <f>U828</f>
        <v>4.0753545000000004</v>
      </c>
      <c r="T829" s="75">
        <v>7.7</v>
      </c>
      <c r="U829" s="75">
        <f>6.1*(W829^2)</f>
        <v>5.5633524999999997</v>
      </c>
      <c r="V829" s="76">
        <v>0.72099999999999997</v>
      </c>
      <c r="W829" s="76">
        <v>0.95499999999999996</v>
      </c>
      <c r="X829" s="77">
        <v>126</v>
      </c>
      <c r="Y829" s="78"/>
      <c r="Z829" s="79"/>
      <c r="AA829" s="69"/>
      <c r="AB829" s="68"/>
      <c r="AC829" s="68"/>
      <c r="AD829" s="68"/>
      <c r="AE829" s="80"/>
      <c r="AF829" s="80"/>
      <c r="AG829" s="80" t="s">
        <v>395</v>
      </c>
      <c r="AH829" s="80"/>
      <c r="AI829" s="81" t="s">
        <v>391</v>
      </c>
      <c r="AJ829" s="81" t="s">
        <v>393</v>
      </c>
      <c r="AK829" s="81">
        <v>2010</v>
      </c>
      <c r="AL829" s="81" t="s">
        <v>53</v>
      </c>
      <c r="AM829" s="81"/>
    </row>
    <row r="830" spans="1:39" s="82" customFormat="1" x14ac:dyDescent="0.3">
      <c r="A830" s="67">
        <v>187</v>
      </c>
      <c r="B830" s="68"/>
      <c r="C830" s="68"/>
      <c r="D830" s="68">
        <v>0</v>
      </c>
      <c r="E830" s="92"/>
      <c r="F830" s="68">
        <v>0</v>
      </c>
      <c r="G830" s="69"/>
      <c r="H830" s="68">
        <v>0</v>
      </c>
      <c r="I830" s="69">
        <v>2.6</v>
      </c>
      <c r="J830" s="69">
        <v>4.2</v>
      </c>
      <c r="K830" s="70">
        <v>3</v>
      </c>
      <c r="L830" s="68">
        <v>42</v>
      </c>
      <c r="M830" s="71">
        <f>32/5</f>
        <v>6.4</v>
      </c>
      <c r="N830" s="72"/>
      <c r="O830" s="84">
        <v>42</v>
      </c>
      <c r="P830" s="73"/>
      <c r="Q830" s="84">
        <v>1</v>
      </c>
      <c r="R830" s="74">
        <v>1.4288432988051107</v>
      </c>
      <c r="S830" s="74">
        <v>1</v>
      </c>
      <c r="T830" s="75">
        <v>1.8438807980812755</v>
      </c>
      <c r="U830" s="75">
        <f>4.2*(V830^2)</f>
        <v>2.3625E-2</v>
      </c>
      <c r="V830" s="76">
        <v>7.4999999999999997E-2</v>
      </c>
      <c r="W830" s="76"/>
      <c r="X830" s="77">
        <v>70</v>
      </c>
      <c r="Y830" s="78"/>
      <c r="Z830" s="79"/>
      <c r="AA830" s="69"/>
      <c r="AB830" s="68"/>
      <c r="AC830" s="68"/>
      <c r="AD830" s="68"/>
      <c r="AE830" s="80"/>
      <c r="AF830" s="80"/>
      <c r="AG830" s="80" t="s">
        <v>394</v>
      </c>
      <c r="AH830" s="80"/>
      <c r="AI830" s="81" t="s">
        <v>392</v>
      </c>
      <c r="AJ830" s="81" t="s">
        <v>393</v>
      </c>
      <c r="AK830" s="81">
        <v>2010</v>
      </c>
      <c r="AL830" s="81" t="s">
        <v>53</v>
      </c>
      <c r="AM830" s="81"/>
    </row>
    <row r="831" spans="1:39" s="82" customFormat="1" x14ac:dyDescent="0.3">
      <c r="A831" s="67">
        <v>187</v>
      </c>
      <c r="B831" s="68"/>
      <c r="C831" s="68"/>
      <c r="D831" s="68">
        <v>1</v>
      </c>
      <c r="E831" s="92">
        <f>32/5</f>
        <v>6.4</v>
      </c>
      <c r="F831" s="68">
        <v>0</v>
      </c>
      <c r="G831" s="69"/>
      <c r="H831" s="68">
        <v>0</v>
      </c>
      <c r="I831" s="69">
        <v>2.6</v>
      </c>
      <c r="J831" s="69">
        <v>4.2</v>
      </c>
      <c r="K831" s="70">
        <v>3</v>
      </c>
      <c r="L831" s="68">
        <v>70</v>
      </c>
      <c r="M831" s="71">
        <f>32/5</f>
        <v>6.4</v>
      </c>
      <c r="N831" s="72"/>
      <c r="O831" s="84">
        <v>70</v>
      </c>
      <c r="P831" s="73"/>
      <c r="Q831" s="84">
        <v>1</v>
      </c>
      <c r="R831" s="74">
        <v>1.8438807980812755</v>
      </c>
      <c r="S831" s="74">
        <f>U830</f>
        <v>2.3625E-2</v>
      </c>
      <c r="T831" s="75">
        <v>3.0138057995244809</v>
      </c>
      <c r="U831" s="75">
        <f>10*(V831^2)</f>
        <v>1.4976900000000002</v>
      </c>
      <c r="V831" s="76">
        <v>0.38700000000000001</v>
      </c>
      <c r="W831" s="76"/>
      <c r="X831" s="77">
        <v>98</v>
      </c>
      <c r="Y831" s="78"/>
      <c r="Z831" s="79"/>
      <c r="AA831" s="69"/>
      <c r="AB831" s="68"/>
      <c r="AC831" s="68"/>
      <c r="AD831" s="68"/>
      <c r="AE831" s="80"/>
      <c r="AF831" s="80"/>
      <c r="AG831" s="80" t="s">
        <v>394</v>
      </c>
      <c r="AH831" s="80"/>
      <c r="AI831" s="81" t="s">
        <v>392</v>
      </c>
      <c r="AJ831" s="81" t="s">
        <v>393</v>
      </c>
      <c r="AK831" s="81">
        <v>2010</v>
      </c>
      <c r="AL831" s="81" t="s">
        <v>53</v>
      </c>
      <c r="AM831" s="81"/>
    </row>
    <row r="832" spans="1:39" s="82" customFormat="1" x14ac:dyDescent="0.3">
      <c r="A832" s="67">
        <v>187</v>
      </c>
      <c r="B832" s="68"/>
      <c r="C832" s="68"/>
      <c r="D832" s="68">
        <v>2</v>
      </c>
      <c r="E832" s="92">
        <f>32/5</f>
        <v>6.4</v>
      </c>
      <c r="F832" s="68">
        <v>0</v>
      </c>
      <c r="G832" s="69"/>
      <c r="H832" s="68">
        <v>0</v>
      </c>
      <c r="I832" s="69">
        <v>2.6</v>
      </c>
      <c r="J832" s="69">
        <v>4.2</v>
      </c>
      <c r="K832" s="70">
        <v>3</v>
      </c>
      <c r="L832" s="68">
        <v>98</v>
      </c>
      <c r="M832" s="71">
        <f>32/5</f>
        <v>6.4</v>
      </c>
      <c r="N832" s="72"/>
      <c r="O832" s="84">
        <v>98</v>
      </c>
      <c r="P832" s="73"/>
      <c r="Q832" s="84">
        <v>1</v>
      </c>
      <c r="R832" s="74">
        <v>3.0138057995244809</v>
      </c>
      <c r="S832" s="74">
        <f>U831</f>
        <v>1.4976900000000002</v>
      </c>
      <c r="T832" s="75">
        <v>5</v>
      </c>
      <c r="U832" s="75">
        <f>10*(W832^2)</f>
        <v>4.7609999999999992</v>
      </c>
      <c r="V832" s="76">
        <v>0.443</v>
      </c>
      <c r="W832" s="76">
        <v>0.69</v>
      </c>
      <c r="X832" s="77">
        <v>126</v>
      </c>
      <c r="Y832" s="78"/>
      <c r="Z832" s="79"/>
      <c r="AA832" s="69"/>
      <c r="AB832" s="68"/>
      <c r="AC832" s="68"/>
      <c r="AD832" s="68"/>
      <c r="AE832" s="80"/>
      <c r="AF832" s="80"/>
      <c r="AG832" s="80" t="s">
        <v>394</v>
      </c>
      <c r="AH832" s="80"/>
      <c r="AI832" s="81" t="s">
        <v>392</v>
      </c>
      <c r="AJ832" s="81" t="s">
        <v>393</v>
      </c>
      <c r="AK832" s="81">
        <v>2010</v>
      </c>
      <c r="AL832" s="81" t="s">
        <v>53</v>
      </c>
      <c r="AM832" s="81"/>
    </row>
    <row r="833" spans="1:39" s="82" customFormat="1" x14ac:dyDescent="0.3">
      <c r="A833" s="67">
        <v>177</v>
      </c>
      <c r="B833" s="68"/>
      <c r="C833" s="68"/>
      <c r="D833" s="68">
        <v>0</v>
      </c>
      <c r="E833" s="92"/>
      <c r="F833" s="68">
        <v>0</v>
      </c>
      <c r="G833" s="69"/>
      <c r="H833" s="68">
        <v>0</v>
      </c>
      <c r="I833" s="69">
        <v>2.6</v>
      </c>
      <c r="J833" s="69">
        <v>11.5</v>
      </c>
      <c r="K833" s="70">
        <v>3</v>
      </c>
      <c r="L833" s="68">
        <v>42</v>
      </c>
      <c r="M833" s="71">
        <v>32</v>
      </c>
      <c r="N833" s="72"/>
      <c r="O833" s="84">
        <v>42</v>
      </c>
      <c r="P833" s="73"/>
      <c r="Q833" s="84">
        <v>1</v>
      </c>
      <c r="R833" s="74">
        <v>1.4288432988051107</v>
      </c>
      <c r="S833" s="74">
        <v>1</v>
      </c>
      <c r="T833" s="75">
        <v>3.1658088929702455</v>
      </c>
      <c r="U833" s="75">
        <f>3.94*(V833^2)</f>
        <v>0.70831743999999996</v>
      </c>
      <c r="V833" s="76">
        <v>0.42399999999999999</v>
      </c>
      <c r="W833" s="76"/>
      <c r="X833" s="77">
        <v>70</v>
      </c>
      <c r="Y833" s="78"/>
      <c r="Z833" s="79"/>
      <c r="AA833" s="69"/>
      <c r="AB833" s="68"/>
      <c r="AC833" s="68"/>
      <c r="AD833" s="68"/>
      <c r="AE833" s="80"/>
      <c r="AF833" s="80"/>
      <c r="AG833" s="80" t="s">
        <v>395</v>
      </c>
      <c r="AH833" s="80"/>
      <c r="AI833" s="81" t="s">
        <v>391</v>
      </c>
      <c r="AJ833" s="81" t="s">
        <v>393</v>
      </c>
      <c r="AK833" s="81">
        <v>2010</v>
      </c>
      <c r="AL833" s="81" t="s">
        <v>53</v>
      </c>
      <c r="AM833" s="81"/>
    </row>
    <row r="834" spans="1:39" s="82" customFormat="1" x14ac:dyDescent="0.3">
      <c r="A834" s="67">
        <v>177</v>
      </c>
      <c r="B834" s="68"/>
      <c r="C834" s="68"/>
      <c r="D834" s="68">
        <v>1</v>
      </c>
      <c r="E834" s="92">
        <v>32</v>
      </c>
      <c r="F834" s="68">
        <v>0</v>
      </c>
      <c r="G834" s="69"/>
      <c r="H834" s="68">
        <v>0</v>
      </c>
      <c r="I834" s="69">
        <v>2.6</v>
      </c>
      <c r="J834" s="69">
        <v>11.5</v>
      </c>
      <c r="K834" s="70">
        <v>3</v>
      </c>
      <c r="L834" s="68">
        <v>70</v>
      </c>
      <c r="M834" s="71">
        <v>32</v>
      </c>
      <c r="N834" s="72"/>
      <c r="O834" s="84">
        <v>70</v>
      </c>
      <c r="P834" s="73"/>
      <c r="Q834" s="84">
        <v>1</v>
      </c>
      <c r="R834" s="74">
        <v>3.1658088929702455</v>
      </c>
      <c r="S834" s="74">
        <f>U833</f>
        <v>0.70831743999999996</v>
      </c>
      <c r="T834" s="75">
        <v>7.2102030123292833</v>
      </c>
      <c r="U834" s="75">
        <f>11.5*(V834^2)</f>
        <v>8.9461260000000014</v>
      </c>
      <c r="V834" s="76">
        <v>0.88200000000000001</v>
      </c>
      <c r="W834" s="76"/>
      <c r="X834" s="77">
        <v>98</v>
      </c>
      <c r="Y834" s="78"/>
      <c r="Z834" s="79"/>
      <c r="AA834" s="69"/>
      <c r="AB834" s="68"/>
      <c r="AC834" s="68"/>
      <c r="AD834" s="68"/>
      <c r="AE834" s="80"/>
      <c r="AF834" s="80"/>
      <c r="AG834" s="80" t="s">
        <v>395</v>
      </c>
      <c r="AH834" s="80"/>
      <c r="AI834" s="81" t="s">
        <v>391</v>
      </c>
      <c r="AJ834" s="81" t="s">
        <v>393</v>
      </c>
      <c r="AK834" s="81">
        <v>2010</v>
      </c>
      <c r="AL834" s="81" t="s">
        <v>53</v>
      </c>
      <c r="AM834" s="81"/>
    </row>
    <row r="835" spans="1:39" s="82" customFormat="1" x14ac:dyDescent="0.3">
      <c r="A835" s="67">
        <v>177</v>
      </c>
      <c r="B835" s="68"/>
      <c r="C835" s="68"/>
      <c r="D835" s="68">
        <v>2</v>
      </c>
      <c r="E835" s="92">
        <v>32</v>
      </c>
      <c r="F835" s="68">
        <v>0</v>
      </c>
      <c r="G835" s="69"/>
      <c r="H835" s="68">
        <v>0</v>
      </c>
      <c r="I835" s="69">
        <v>2.6</v>
      </c>
      <c r="J835" s="69">
        <v>11.5</v>
      </c>
      <c r="K835" s="70">
        <v>3</v>
      </c>
      <c r="L835" s="68">
        <v>98</v>
      </c>
      <c r="M835" s="71">
        <v>32</v>
      </c>
      <c r="N835" s="72"/>
      <c r="O835" s="84">
        <v>98</v>
      </c>
      <c r="P835" s="73"/>
      <c r="Q835" s="84">
        <v>1</v>
      </c>
      <c r="R835" s="74">
        <v>7.2102030123292833</v>
      </c>
      <c r="S835" s="74">
        <f>U834</f>
        <v>8.9461260000000014</v>
      </c>
      <c r="T835" s="75">
        <v>8.1999999999999993</v>
      </c>
      <c r="U835" s="75">
        <f>6.1*(W835^2)</f>
        <v>5.9665381000000002</v>
      </c>
      <c r="V835" s="76">
        <v>0.75</v>
      </c>
      <c r="W835" s="76">
        <v>0.98899999999999999</v>
      </c>
      <c r="X835" s="77">
        <v>126</v>
      </c>
      <c r="Y835" s="78"/>
      <c r="Z835" s="79"/>
      <c r="AA835" s="69"/>
      <c r="AB835" s="68"/>
      <c r="AC835" s="68"/>
      <c r="AD835" s="68"/>
      <c r="AE835" s="80"/>
      <c r="AF835" s="80"/>
      <c r="AG835" s="80" t="s">
        <v>395</v>
      </c>
      <c r="AH835" s="80"/>
      <c r="AI835" s="81" t="s">
        <v>391</v>
      </c>
      <c r="AJ835" s="81" t="s">
        <v>393</v>
      </c>
      <c r="AK835" s="81">
        <v>2010</v>
      </c>
      <c r="AL835" s="81" t="s">
        <v>53</v>
      </c>
      <c r="AM835" s="81"/>
    </row>
    <row r="836" spans="1:39" s="82" customFormat="1" x14ac:dyDescent="0.3">
      <c r="A836" s="67">
        <v>82</v>
      </c>
      <c r="B836" s="68">
        <v>82</v>
      </c>
      <c r="C836" s="68"/>
      <c r="D836" s="68">
        <v>0</v>
      </c>
      <c r="E836" s="68"/>
      <c r="F836" s="68">
        <v>1</v>
      </c>
      <c r="G836" s="69">
        <v>6</v>
      </c>
      <c r="H836" s="68"/>
      <c r="I836" s="69"/>
      <c r="J836" s="69"/>
      <c r="K836" s="70">
        <v>1</v>
      </c>
      <c r="L836" s="68">
        <v>360</v>
      </c>
      <c r="M836" s="71"/>
      <c r="N836" s="72">
        <v>5.4</v>
      </c>
      <c r="O836" s="84">
        <v>360</v>
      </c>
      <c r="P836" s="73">
        <v>0.56999999999999995</v>
      </c>
      <c r="Q836" s="84"/>
      <c r="R836" s="74"/>
      <c r="S836" s="74"/>
      <c r="T836" s="75"/>
      <c r="U836" s="75"/>
      <c r="V836" s="76"/>
      <c r="W836" s="76">
        <v>0.83</v>
      </c>
      <c r="X836" s="77">
        <f t="shared" ref="X836:X850" si="1">L836+90</f>
        <v>450</v>
      </c>
      <c r="Y836" s="78"/>
      <c r="Z836" s="79"/>
      <c r="AA836" s="69"/>
      <c r="AB836" s="68">
        <v>46</v>
      </c>
      <c r="AC836" s="68">
        <v>0</v>
      </c>
      <c r="AD836" s="68"/>
      <c r="AE836" s="80"/>
      <c r="AF836" s="80"/>
      <c r="AG836" s="80"/>
      <c r="AH836" s="80"/>
      <c r="AI836" s="81" t="s">
        <v>251</v>
      </c>
      <c r="AJ836" s="81" t="s">
        <v>250</v>
      </c>
      <c r="AK836" s="81">
        <v>1960</v>
      </c>
      <c r="AL836" s="81" t="s">
        <v>255</v>
      </c>
      <c r="AM836" s="81" t="s">
        <v>323</v>
      </c>
    </row>
    <row r="837" spans="1:39" s="82" customFormat="1" x14ac:dyDescent="0.3">
      <c r="A837" s="67">
        <v>79</v>
      </c>
      <c r="B837" s="68">
        <v>79</v>
      </c>
      <c r="C837" s="68"/>
      <c r="D837" s="68">
        <v>0</v>
      </c>
      <c r="E837" s="68"/>
      <c r="F837" s="68">
        <v>1</v>
      </c>
      <c r="G837" s="69">
        <v>6</v>
      </c>
      <c r="H837" s="68"/>
      <c r="I837" s="69"/>
      <c r="J837" s="69"/>
      <c r="K837" s="70">
        <v>1</v>
      </c>
      <c r="L837" s="68">
        <v>720</v>
      </c>
      <c r="M837" s="71"/>
      <c r="N837" s="72">
        <v>5.4</v>
      </c>
      <c r="O837" s="84">
        <v>720</v>
      </c>
      <c r="P837" s="73">
        <v>0.75</v>
      </c>
      <c r="Q837" s="84"/>
      <c r="R837" s="74"/>
      <c r="S837" s="74"/>
      <c r="T837" s="75"/>
      <c r="U837" s="75"/>
      <c r="V837" s="76"/>
      <c r="W837" s="76">
        <v>0.96</v>
      </c>
      <c r="X837" s="77">
        <f t="shared" si="1"/>
        <v>810</v>
      </c>
      <c r="Y837" s="78"/>
      <c r="Z837" s="79"/>
      <c r="AA837" s="69"/>
      <c r="AB837" s="68">
        <v>28</v>
      </c>
      <c r="AC837" s="68">
        <v>864</v>
      </c>
      <c r="AD837" s="68"/>
      <c r="AE837" s="80"/>
      <c r="AF837" s="80"/>
      <c r="AG837" s="80"/>
      <c r="AH837" s="80"/>
      <c r="AI837" s="81" t="s">
        <v>252</v>
      </c>
      <c r="AJ837" s="81" t="s">
        <v>250</v>
      </c>
      <c r="AK837" s="81">
        <v>1960</v>
      </c>
      <c r="AL837" s="81" t="s">
        <v>255</v>
      </c>
      <c r="AM837" s="81"/>
    </row>
    <row r="838" spans="1:39" s="82" customFormat="1" x14ac:dyDescent="0.3">
      <c r="A838" s="67">
        <v>95</v>
      </c>
      <c r="B838" s="68">
        <v>95</v>
      </c>
      <c r="C838" s="68"/>
      <c r="D838" s="68">
        <v>0</v>
      </c>
      <c r="E838" s="68"/>
      <c r="F838" s="68">
        <v>1</v>
      </c>
      <c r="G838" s="69">
        <v>6</v>
      </c>
      <c r="H838" s="68"/>
      <c r="I838" s="69"/>
      <c r="J838" s="69"/>
      <c r="K838" s="70">
        <v>1</v>
      </c>
      <c r="L838" s="68">
        <v>1080</v>
      </c>
      <c r="M838" s="71"/>
      <c r="N838" s="72">
        <v>5.4</v>
      </c>
      <c r="O838" s="84">
        <v>1080</v>
      </c>
      <c r="P838" s="73">
        <v>0.94</v>
      </c>
      <c r="Q838" s="84"/>
      <c r="R838" s="74"/>
      <c r="S838" s="74"/>
      <c r="T838" s="75"/>
      <c r="U838" s="75"/>
      <c r="V838" s="76"/>
      <c r="W838" s="76">
        <v>0.97</v>
      </c>
      <c r="X838" s="77">
        <f t="shared" si="1"/>
        <v>1170</v>
      </c>
      <c r="Y838" s="78"/>
      <c r="Z838" s="79"/>
      <c r="AA838" s="69"/>
      <c r="AB838" s="68">
        <v>35.14</v>
      </c>
      <c r="AC838" s="68">
        <v>296</v>
      </c>
      <c r="AD838" s="68"/>
      <c r="AE838" s="80"/>
      <c r="AF838" s="80"/>
      <c r="AG838" s="80"/>
      <c r="AH838" s="80"/>
      <c r="AI838" s="81" t="s">
        <v>253</v>
      </c>
      <c r="AJ838" s="81" t="s">
        <v>250</v>
      </c>
      <c r="AK838" s="81">
        <v>1960</v>
      </c>
      <c r="AL838" s="81" t="s">
        <v>255</v>
      </c>
      <c r="AM838" s="81"/>
    </row>
    <row r="839" spans="1:39" s="82" customFormat="1" x14ac:dyDescent="0.3">
      <c r="A839" s="67">
        <v>74</v>
      </c>
      <c r="B839" s="68">
        <v>74</v>
      </c>
      <c r="C839" s="68"/>
      <c r="D839" s="68">
        <v>0</v>
      </c>
      <c r="E839" s="68"/>
      <c r="F839" s="68">
        <v>1</v>
      </c>
      <c r="G839" s="69">
        <v>6</v>
      </c>
      <c r="H839" s="68"/>
      <c r="I839" s="69"/>
      <c r="J839" s="69"/>
      <c r="K839" s="70">
        <v>1</v>
      </c>
      <c r="L839" s="68">
        <v>1440</v>
      </c>
      <c r="M839" s="71"/>
      <c r="N839" s="72">
        <v>5.4</v>
      </c>
      <c r="O839" s="84">
        <v>1440</v>
      </c>
      <c r="P839" s="73">
        <v>0.97</v>
      </c>
      <c r="Q839" s="84"/>
      <c r="R839" s="74"/>
      <c r="S839" s="74"/>
      <c r="T839" s="75"/>
      <c r="U839" s="75"/>
      <c r="V839" s="76"/>
      <c r="W839" s="76">
        <v>1</v>
      </c>
      <c r="X839" s="77">
        <f t="shared" si="1"/>
        <v>1530</v>
      </c>
      <c r="Y839" s="78"/>
      <c r="Z839" s="79"/>
      <c r="AA839" s="69"/>
      <c r="AB839" s="68">
        <v>54</v>
      </c>
      <c r="AC839" s="68">
        <v>1208</v>
      </c>
      <c r="AD839" s="68"/>
      <c r="AE839" s="80"/>
      <c r="AF839" s="80"/>
      <c r="AG839" s="80"/>
      <c r="AH839" s="80"/>
      <c r="AI839" s="81" t="s">
        <v>254</v>
      </c>
      <c r="AJ839" s="81" t="s">
        <v>250</v>
      </c>
      <c r="AK839" s="81">
        <v>1960</v>
      </c>
      <c r="AL839" s="81" t="s">
        <v>255</v>
      </c>
      <c r="AM839" s="81"/>
    </row>
    <row r="840" spans="1:39" s="82" customFormat="1" x14ac:dyDescent="0.3">
      <c r="A840" s="67">
        <v>42</v>
      </c>
      <c r="B840" s="68">
        <v>42</v>
      </c>
      <c r="C840" s="68"/>
      <c r="D840" s="68">
        <v>0</v>
      </c>
      <c r="E840" s="68"/>
      <c r="F840" s="68">
        <v>1</v>
      </c>
      <c r="G840" s="69">
        <v>6</v>
      </c>
      <c r="H840" s="68"/>
      <c r="I840" s="69"/>
      <c r="J840" s="69"/>
      <c r="K840" s="70">
        <v>1</v>
      </c>
      <c r="L840" s="68">
        <v>2700</v>
      </c>
      <c r="M840" s="71"/>
      <c r="N840" s="72">
        <v>5.4</v>
      </c>
      <c r="O840" s="84">
        <v>2700</v>
      </c>
      <c r="P840" s="73">
        <v>0.91</v>
      </c>
      <c r="Q840" s="84"/>
      <c r="R840" s="74"/>
      <c r="S840" s="74"/>
      <c r="T840" s="75"/>
      <c r="U840" s="75"/>
      <c r="V840" s="76"/>
      <c r="W840" s="76">
        <v>1</v>
      </c>
      <c r="X840" s="77">
        <f t="shared" si="1"/>
        <v>2790</v>
      </c>
      <c r="Y840" s="78"/>
      <c r="Z840" s="79"/>
      <c r="AA840" s="69"/>
      <c r="AB840" s="68">
        <v>60</v>
      </c>
      <c r="AC840" s="68">
        <v>0</v>
      </c>
      <c r="AD840" s="68"/>
      <c r="AE840" s="80"/>
      <c r="AF840" s="80"/>
      <c r="AG840" s="80"/>
      <c r="AH840" s="80"/>
      <c r="AI840" s="81" t="s">
        <v>256</v>
      </c>
      <c r="AJ840" s="81" t="s">
        <v>250</v>
      </c>
      <c r="AK840" s="81">
        <v>1960</v>
      </c>
      <c r="AL840" s="81" t="s">
        <v>255</v>
      </c>
      <c r="AM840" s="81"/>
    </row>
    <row r="841" spans="1:39" s="82" customFormat="1" x14ac:dyDescent="0.3">
      <c r="A841" s="67">
        <v>82</v>
      </c>
      <c r="B841" s="68">
        <v>82</v>
      </c>
      <c r="C841" s="68"/>
      <c r="D841" s="68">
        <v>0</v>
      </c>
      <c r="E841" s="68"/>
      <c r="F841" s="68">
        <v>1</v>
      </c>
      <c r="G841" s="69">
        <v>5</v>
      </c>
      <c r="H841" s="68"/>
      <c r="I841" s="69"/>
      <c r="J841" s="69"/>
      <c r="K841" s="70">
        <v>2</v>
      </c>
      <c r="L841" s="68">
        <v>360</v>
      </c>
      <c r="M841" s="71"/>
      <c r="N841" s="72">
        <v>5.4</v>
      </c>
      <c r="O841" s="84">
        <v>360</v>
      </c>
      <c r="P841" s="73">
        <v>0.56999999999999995</v>
      </c>
      <c r="Q841" s="84"/>
      <c r="R841" s="74"/>
      <c r="S841" s="74"/>
      <c r="T841" s="75"/>
      <c r="U841" s="75"/>
      <c r="V841" s="76"/>
      <c r="W841" s="76">
        <v>0.83</v>
      </c>
      <c r="X841" s="77">
        <f t="shared" si="1"/>
        <v>450</v>
      </c>
      <c r="Y841" s="78"/>
      <c r="Z841" s="79"/>
      <c r="AA841" s="69"/>
      <c r="AB841" s="68">
        <v>47.71</v>
      </c>
      <c r="AC841" s="68">
        <v>38</v>
      </c>
      <c r="AD841" s="68"/>
      <c r="AE841" s="80"/>
      <c r="AF841" s="80"/>
      <c r="AG841" s="80"/>
      <c r="AH841" s="80"/>
      <c r="AI841" s="81" t="s">
        <v>251</v>
      </c>
      <c r="AJ841" s="81" t="s">
        <v>250</v>
      </c>
      <c r="AK841" s="81">
        <v>1960</v>
      </c>
      <c r="AL841" s="81" t="s">
        <v>255</v>
      </c>
      <c r="AM841" s="81" t="s">
        <v>323</v>
      </c>
    </row>
    <row r="842" spans="1:39" s="82" customFormat="1" x14ac:dyDescent="0.3">
      <c r="A842" s="67">
        <v>79</v>
      </c>
      <c r="B842" s="68">
        <v>79</v>
      </c>
      <c r="C842" s="68"/>
      <c r="D842" s="68">
        <v>0</v>
      </c>
      <c r="E842" s="68"/>
      <c r="F842" s="68">
        <v>1</v>
      </c>
      <c r="G842" s="69">
        <v>5</v>
      </c>
      <c r="H842" s="68"/>
      <c r="I842" s="69"/>
      <c r="J842" s="69"/>
      <c r="K842" s="70">
        <v>2</v>
      </c>
      <c r="L842" s="68">
        <v>720</v>
      </c>
      <c r="M842" s="71"/>
      <c r="N842" s="72">
        <v>5.4</v>
      </c>
      <c r="O842" s="84">
        <v>720</v>
      </c>
      <c r="P842" s="73">
        <v>0.75</v>
      </c>
      <c r="Q842" s="84"/>
      <c r="R842" s="74"/>
      <c r="S842" s="74"/>
      <c r="T842" s="75"/>
      <c r="U842" s="75"/>
      <c r="V842" s="76"/>
      <c r="W842" s="76">
        <v>0.96</v>
      </c>
      <c r="X842" s="77">
        <f t="shared" si="1"/>
        <v>810</v>
      </c>
      <c r="Y842" s="78"/>
      <c r="Z842" s="79"/>
      <c r="AA842" s="69"/>
      <c r="AB842" s="68">
        <v>49.43</v>
      </c>
      <c r="AC842" s="68">
        <v>71</v>
      </c>
      <c r="AD842" s="68"/>
      <c r="AE842" s="80"/>
      <c r="AF842" s="80"/>
      <c r="AG842" s="80"/>
      <c r="AH842" s="80"/>
      <c r="AI842" s="81" t="s">
        <v>252</v>
      </c>
      <c r="AJ842" s="81" t="s">
        <v>250</v>
      </c>
      <c r="AK842" s="81">
        <v>1960</v>
      </c>
      <c r="AL842" s="81" t="s">
        <v>255</v>
      </c>
      <c r="AM842" s="81"/>
    </row>
    <row r="843" spans="1:39" x14ac:dyDescent="0.3">
      <c r="A843" s="1">
        <v>95</v>
      </c>
      <c r="B843" s="2">
        <v>95</v>
      </c>
      <c r="D843" s="2">
        <v>0</v>
      </c>
      <c r="F843" s="2">
        <v>1</v>
      </c>
      <c r="G843" s="3">
        <v>5</v>
      </c>
      <c r="K843" s="4">
        <v>2</v>
      </c>
      <c r="L843" s="2">
        <v>1080</v>
      </c>
      <c r="N843" s="6">
        <v>5.4</v>
      </c>
      <c r="O843" s="17">
        <v>1080</v>
      </c>
      <c r="P843" s="7">
        <v>0.94</v>
      </c>
      <c r="W843" s="10">
        <v>0.97</v>
      </c>
      <c r="X843" s="11">
        <f t="shared" si="1"/>
        <v>1170</v>
      </c>
      <c r="AB843" s="2">
        <v>50</v>
      </c>
      <c r="AC843" s="2">
        <v>80</v>
      </c>
      <c r="AI843" s="81" t="s">
        <v>253</v>
      </c>
      <c r="AJ843" s="81" t="s">
        <v>250</v>
      </c>
      <c r="AK843" s="15">
        <v>1960</v>
      </c>
      <c r="AL843" s="81" t="s">
        <v>255</v>
      </c>
      <c r="AM843" s="81"/>
    </row>
    <row r="844" spans="1:39" x14ac:dyDescent="0.3">
      <c r="A844" s="1">
        <v>74</v>
      </c>
      <c r="B844" s="2">
        <v>74</v>
      </c>
      <c r="D844" s="2">
        <v>0</v>
      </c>
      <c r="F844" s="2">
        <v>1</v>
      </c>
      <c r="G844" s="3">
        <v>5</v>
      </c>
      <c r="K844" s="4">
        <v>2</v>
      </c>
      <c r="L844" s="2">
        <v>1440</v>
      </c>
      <c r="N844" s="6">
        <v>5.4</v>
      </c>
      <c r="O844" s="17">
        <v>1440</v>
      </c>
      <c r="P844" s="7">
        <v>0.97</v>
      </c>
      <c r="W844" s="10">
        <v>1</v>
      </c>
      <c r="X844" s="11">
        <f t="shared" si="1"/>
        <v>1530</v>
      </c>
      <c r="AB844" s="2">
        <v>54</v>
      </c>
      <c r="AC844" s="2">
        <v>128</v>
      </c>
      <c r="AI844" s="15" t="s">
        <v>254</v>
      </c>
      <c r="AJ844" s="15" t="s">
        <v>250</v>
      </c>
      <c r="AK844" s="15">
        <v>1960</v>
      </c>
      <c r="AL844" s="15" t="s">
        <v>255</v>
      </c>
      <c r="AM844" s="81"/>
    </row>
    <row r="845" spans="1:39" x14ac:dyDescent="0.3">
      <c r="A845" s="1">
        <v>42</v>
      </c>
      <c r="B845" s="2">
        <v>42</v>
      </c>
      <c r="D845" s="2">
        <v>0</v>
      </c>
      <c r="F845" s="2">
        <v>1</v>
      </c>
      <c r="G845" s="3">
        <v>5</v>
      </c>
      <c r="K845" s="4">
        <v>2</v>
      </c>
      <c r="L845" s="2">
        <v>2700</v>
      </c>
      <c r="N845" s="6">
        <v>5.4</v>
      </c>
      <c r="O845" s="17">
        <v>2700</v>
      </c>
      <c r="P845" s="7">
        <v>0.91</v>
      </c>
      <c r="W845" s="10">
        <v>1</v>
      </c>
      <c r="X845" s="11">
        <f t="shared" si="1"/>
        <v>2790</v>
      </c>
      <c r="AB845" s="2">
        <v>70</v>
      </c>
      <c r="AC845" s="2">
        <v>0</v>
      </c>
      <c r="AI845" s="81" t="s">
        <v>256</v>
      </c>
      <c r="AJ845" s="81" t="s">
        <v>250</v>
      </c>
      <c r="AK845" s="15">
        <v>1960</v>
      </c>
      <c r="AL845" s="81" t="s">
        <v>255</v>
      </c>
      <c r="AM845" s="81"/>
    </row>
    <row r="846" spans="1:39" x14ac:dyDescent="0.3">
      <c r="A846" s="1">
        <v>82</v>
      </c>
      <c r="B846" s="2">
        <v>82</v>
      </c>
      <c r="D846" s="2">
        <v>0</v>
      </c>
      <c r="F846" s="2">
        <v>1</v>
      </c>
      <c r="G846" s="3">
        <v>5.5</v>
      </c>
      <c r="K846" s="4">
        <v>3</v>
      </c>
      <c r="L846" s="2">
        <v>360</v>
      </c>
      <c r="N846" s="6">
        <v>5.4</v>
      </c>
      <c r="O846" s="17">
        <v>360</v>
      </c>
      <c r="P846" s="7">
        <v>0.56999999999999995</v>
      </c>
      <c r="W846" s="10">
        <v>0.83</v>
      </c>
      <c r="X846" s="11">
        <f t="shared" si="1"/>
        <v>450</v>
      </c>
      <c r="AB846" s="2">
        <v>55</v>
      </c>
      <c r="AC846" s="2">
        <v>405</v>
      </c>
      <c r="AI846" s="81" t="s">
        <v>251</v>
      </c>
      <c r="AJ846" s="81" t="s">
        <v>250</v>
      </c>
      <c r="AK846" s="81">
        <v>1960</v>
      </c>
      <c r="AL846" s="81" t="s">
        <v>255</v>
      </c>
      <c r="AM846" s="15" t="s">
        <v>323</v>
      </c>
    </row>
    <row r="847" spans="1:39" x14ac:dyDescent="0.3">
      <c r="A847" s="1">
        <v>79</v>
      </c>
      <c r="B847" s="2">
        <v>79</v>
      </c>
      <c r="D847" s="2">
        <v>0</v>
      </c>
      <c r="F847" s="2">
        <v>1</v>
      </c>
      <c r="G847" s="3">
        <v>5.5</v>
      </c>
      <c r="K847" s="4">
        <v>3</v>
      </c>
      <c r="L847" s="2">
        <v>720</v>
      </c>
      <c r="N847" s="6">
        <v>5.4</v>
      </c>
      <c r="O847" s="17">
        <v>720</v>
      </c>
      <c r="P847" s="7">
        <v>0.75</v>
      </c>
      <c r="W847" s="10">
        <v>0.96</v>
      </c>
      <c r="X847" s="11">
        <f t="shared" si="1"/>
        <v>810</v>
      </c>
      <c r="AB847" s="2">
        <v>46</v>
      </c>
      <c r="AC847" s="2">
        <v>0</v>
      </c>
      <c r="AI847" s="81" t="s">
        <v>252</v>
      </c>
      <c r="AJ847" s="81" t="s">
        <v>250</v>
      </c>
      <c r="AK847" s="15">
        <v>1960</v>
      </c>
      <c r="AL847" s="81" t="s">
        <v>255</v>
      </c>
      <c r="AM847" s="81"/>
    </row>
    <row r="848" spans="1:39" s="82" customFormat="1" x14ac:dyDescent="0.3">
      <c r="A848" s="67">
        <v>95</v>
      </c>
      <c r="B848" s="68">
        <v>95</v>
      </c>
      <c r="C848" s="68"/>
      <c r="D848" s="68">
        <v>0</v>
      </c>
      <c r="E848" s="68"/>
      <c r="F848" s="68">
        <v>1</v>
      </c>
      <c r="G848" s="69">
        <v>5.5</v>
      </c>
      <c r="H848" s="68"/>
      <c r="I848" s="69"/>
      <c r="J848" s="69"/>
      <c r="K848" s="70">
        <v>3</v>
      </c>
      <c r="L848" s="68">
        <v>1080</v>
      </c>
      <c r="M848" s="71"/>
      <c r="N848" s="72">
        <v>5.4</v>
      </c>
      <c r="O848" s="84">
        <v>1080</v>
      </c>
      <c r="P848" s="73">
        <v>0.94</v>
      </c>
      <c r="Q848" s="84"/>
      <c r="R848" s="74"/>
      <c r="S848" s="74"/>
      <c r="T848" s="75"/>
      <c r="U848" s="75"/>
      <c r="V848" s="76"/>
      <c r="W848" s="76">
        <v>0.97</v>
      </c>
      <c r="X848" s="77">
        <f t="shared" si="1"/>
        <v>1170</v>
      </c>
      <c r="Y848" s="78"/>
      <c r="Z848" s="79"/>
      <c r="AA848" s="69"/>
      <c r="AB848" s="68">
        <v>38.799999999999997</v>
      </c>
      <c r="AC848" s="68">
        <v>423</v>
      </c>
      <c r="AD848" s="68"/>
      <c r="AE848" s="80"/>
      <c r="AF848" s="80"/>
      <c r="AG848" s="80"/>
      <c r="AH848" s="80"/>
      <c r="AI848" s="81" t="s">
        <v>253</v>
      </c>
      <c r="AJ848" s="81" t="s">
        <v>250</v>
      </c>
      <c r="AK848" s="81">
        <v>1960</v>
      </c>
      <c r="AL848" s="81" t="s">
        <v>255</v>
      </c>
      <c r="AM848" s="81"/>
    </row>
    <row r="849" spans="1:39" s="82" customFormat="1" x14ac:dyDescent="0.3">
      <c r="A849" s="67">
        <v>74</v>
      </c>
      <c r="B849" s="68">
        <v>74</v>
      </c>
      <c r="C849" s="68"/>
      <c r="D849" s="68">
        <v>0</v>
      </c>
      <c r="E849" s="68"/>
      <c r="F849" s="68">
        <v>1</v>
      </c>
      <c r="G849" s="69">
        <v>5.5</v>
      </c>
      <c r="H849" s="68"/>
      <c r="I849" s="69"/>
      <c r="J849" s="69"/>
      <c r="K849" s="70">
        <v>3</v>
      </c>
      <c r="L849" s="68">
        <v>1440</v>
      </c>
      <c r="M849" s="71"/>
      <c r="N849" s="72">
        <v>5.4</v>
      </c>
      <c r="O849" s="84">
        <v>1440</v>
      </c>
      <c r="P849" s="73">
        <v>0.97</v>
      </c>
      <c r="Q849" s="84"/>
      <c r="R849" s="74"/>
      <c r="S849" s="74"/>
      <c r="T849" s="75"/>
      <c r="U849" s="75"/>
      <c r="V849" s="76"/>
      <c r="W849" s="76">
        <v>1</v>
      </c>
      <c r="X849" s="77">
        <f t="shared" si="1"/>
        <v>1530</v>
      </c>
      <c r="Y849" s="78"/>
      <c r="Z849" s="79"/>
      <c r="AA849" s="69"/>
      <c r="AB849" s="68">
        <v>46</v>
      </c>
      <c r="AC849" s="68">
        <v>0</v>
      </c>
      <c r="AD849" s="68"/>
      <c r="AE849" s="80"/>
      <c r="AF849" s="80"/>
      <c r="AG849" s="80"/>
      <c r="AH849" s="80"/>
      <c r="AI849" s="81" t="s">
        <v>254</v>
      </c>
      <c r="AJ849" s="81" t="s">
        <v>250</v>
      </c>
      <c r="AK849" s="81">
        <v>1960</v>
      </c>
      <c r="AL849" s="81" t="s">
        <v>255</v>
      </c>
      <c r="AM849" s="81"/>
    </row>
    <row r="850" spans="1:39" s="82" customFormat="1" x14ac:dyDescent="0.3">
      <c r="A850" s="67">
        <v>42</v>
      </c>
      <c r="B850" s="68">
        <v>42</v>
      </c>
      <c r="C850" s="68"/>
      <c r="D850" s="68">
        <v>0</v>
      </c>
      <c r="E850" s="68"/>
      <c r="F850" s="68">
        <v>1</v>
      </c>
      <c r="G850" s="69">
        <v>5.5</v>
      </c>
      <c r="H850" s="68"/>
      <c r="I850" s="69"/>
      <c r="J850" s="69"/>
      <c r="K850" s="70">
        <v>3</v>
      </c>
      <c r="L850" s="68">
        <v>2700</v>
      </c>
      <c r="M850" s="71"/>
      <c r="N850" s="72">
        <v>5.4</v>
      </c>
      <c r="O850" s="84">
        <v>2700</v>
      </c>
      <c r="P850" s="73">
        <v>0.91</v>
      </c>
      <c r="Q850" s="84"/>
      <c r="R850" s="74"/>
      <c r="S850" s="74"/>
      <c r="T850" s="75"/>
      <c r="U850" s="75"/>
      <c r="V850" s="76"/>
      <c r="W850" s="76">
        <v>1</v>
      </c>
      <c r="X850" s="77">
        <f t="shared" si="1"/>
        <v>2790</v>
      </c>
      <c r="Y850" s="78"/>
      <c r="Z850" s="79"/>
      <c r="AA850" s="69"/>
      <c r="AB850" s="68">
        <v>46</v>
      </c>
      <c r="AC850" s="68">
        <v>0</v>
      </c>
      <c r="AD850" s="68"/>
      <c r="AE850" s="80"/>
      <c r="AF850" s="80"/>
      <c r="AG850" s="80"/>
      <c r="AH850" s="80"/>
      <c r="AI850" s="81" t="s">
        <v>256</v>
      </c>
      <c r="AJ850" s="81" t="s">
        <v>250</v>
      </c>
      <c r="AK850" s="81">
        <v>1960</v>
      </c>
      <c r="AL850" s="81" t="s">
        <v>255</v>
      </c>
      <c r="AM850" s="81"/>
    </row>
    <row r="851" spans="1:39" s="82" customFormat="1" x14ac:dyDescent="0.3">
      <c r="A851" s="67">
        <v>29</v>
      </c>
      <c r="B851" s="68">
        <v>214</v>
      </c>
      <c r="C851" s="68"/>
      <c r="D851" s="68">
        <v>0</v>
      </c>
      <c r="E851" s="68"/>
      <c r="F851" s="68">
        <v>0</v>
      </c>
      <c r="G851" s="69"/>
      <c r="H851" s="68"/>
      <c r="I851" s="69"/>
      <c r="J851" s="69"/>
      <c r="K851" s="70">
        <v>1</v>
      </c>
      <c r="L851" s="68">
        <v>150</v>
      </c>
      <c r="M851" s="71"/>
      <c r="N851" s="72">
        <v>6</v>
      </c>
      <c r="O851" s="84">
        <v>150</v>
      </c>
      <c r="P851" s="73">
        <v>0.32</v>
      </c>
      <c r="Q851" s="84">
        <v>0</v>
      </c>
      <c r="R851" s="74">
        <v>0.2</v>
      </c>
      <c r="S851" s="74"/>
      <c r="T851" s="75">
        <v>5.4539999999999997</v>
      </c>
      <c r="U851" s="75"/>
      <c r="V851" s="76"/>
      <c r="W851" s="76">
        <v>0.79</v>
      </c>
      <c r="X851" s="77">
        <v>195</v>
      </c>
      <c r="Y851" s="78"/>
      <c r="Z851" s="79"/>
      <c r="AA851" s="69"/>
      <c r="AB851" s="68">
        <v>32.950000000000003</v>
      </c>
      <c r="AC851" s="68">
        <v>486</v>
      </c>
      <c r="AD851" s="68"/>
      <c r="AE851" s="80"/>
      <c r="AF851" s="80"/>
      <c r="AG851" s="80"/>
      <c r="AH851" s="80"/>
      <c r="AI851" s="81" t="s">
        <v>149</v>
      </c>
      <c r="AJ851" s="81" t="s">
        <v>175</v>
      </c>
      <c r="AK851" s="81">
        <v>2003</v>
      </c>
      <c r="AL851" s="81" t="s">
        <v>207</v>
      </c>
      <c r="AM851" s="81" t="s">
        <v>176</v>
      </c>
    </row>
    <row r="852" spans="1:39" s="82" customFormat="1" x14ac:dyDescent="0.3">
      <c r="A852" s="67">
        <v>32</v>
      </c>
      <c r="B852" s="68">
        <v>263</v>
      </c>
      <c r="C852" s="68"/>
      <c r="D852" s="68">
        <v>0</v>
      </c>
      <c r="E852" s="68"/>
      <c r="F852" s="68">
        <v>1</v>
      </c>
      <c r="G852" s="69">
        <v>6</v>
      </c>
      <c r="H852" s="68"/>
      <c r="I852" s="69"/>
      <c r="J852" s="69"/>
      <c r="K852" s="70">
        <v>1</v>
      </c>
      <c r="L852" s="68">
        <v>210</v>
      </c>
      <c r="M852" s="71"/>
      <c r="N852" s="72">
        <v>6</v>
      </c>
      <c r="O852" s="84">
        <v>195</v>
      </c>
      <c r="P852" s="73">
        <v>0.79</v>
      </c>
      <c r="Q852" s="84">
        <v>0</v>
      </c>
      <c r="R852" s="74"/>
      <c r="S852" s="74"/>
      <c r="T852" s="75">
        <v>7.4269999999999996</v>
      </c>
      <c r="U852" s="75"/>
      <c r="V852" s="76"/>
      <c r="W852" s="76">
        <v>1</v>
      </c>
      <c r="X852" s="77">
        <v>255</v>
      </c>
      <c r="Y852" s="78"/>
      <c r="Z852" s="79"/>
      <c r="AA852" s="69"/>
      <c r="AB852" s="68">
        <v>27.14</v>
      </c>
      <c r="AC852" s="68">
        <v>402</v>
      </c>
      <c r="AD852" s="68"/>
      <c r="AE852" s="80"/>
      <c r="AF852" s="80"/>
      <c r="AG852" s="80"/>
      <c r="AH852" s="80"/>
      <c r="AI852" s="81" t="s">
        <v>149</v>
      </c>
      <c r="AJ852" s="81" t="s">
        <v>175</v>
      </c>
      <c r="AK852" s="81">
        <v>2003</v>
      </c>
      <c r="AL852" s="81" t="s">
        <v>207</v>
      </c>
      <c r="AM852" s="81" t="s">
        <v>176</v>
      </c>
    </row>
    <row r="853" spans="1:39" s="82" customFormat="1" x14ac:dyDescent="0.3">
      <c r="A853" s="67">
        <v>24</v>
      </c>
      <c r="B853" s="68">
        <v>238</v>
      </c>
      <c r="C853" s="68"/>
      <c r="D853" s="68">
        <v>0</v>
      </c>
      <c r="E853" s="68"/>
      <c r="F853" s="68">
        <v>2</v>
      </c>
      <c r="G853" s="69">
        <v>6</v>
      </c>
      <c r="H853" s="68"/>
      <c r="I853" s="69"/>
      <c r="J853" s="69"/>
      <c r="K853" s="70">
        <v>1</v>
      </c>
      <c r="L853" s="68">
        <v>270</v>
      </c>
      <c r="M853" s="71"/>
      <c r="N853" s="72">
        <v>6</v>
      </c>
      <c r="O853" s="84">
        <v>255</v>
      </c>
      <c r="P853" s="73">
        <v>1</v>
      </c>
      <c r="Q853" s="84">
        <v>0</v>
      </c>
      <c r="R853" s="74"/>
      <c r="S853" s="74"/>
      <c r="T853" s="75">
        <v>8.6989999999999998</v>
      </c>
      <c r="U853" s="75"/>
      <c r="V853" s="76"/>
      <c r="W853" s="76">
        <v>1</v>
      </c>
      <c r="X853" s="77">
        <v>315</v>
      </c>
      <c r="Y853" s="78"/>
      <c r="Z853" s="79"/>
      <c r="AA853" s="69"/>
      <c r="AB853" s="68">
        <v>24</v>
      </c>
      <c r="AC853" s="68">
        <v>393</v>
      </c>
      <c r="AD853" s="68"/>
      <c r="AE853" s="80"/>
      <c r="AF853" s="80"/>
      <c r="AG853" s="80"/>
      <c r="AH853" s="80"/>
      <c r="AI853" s="81" t="s">
        <v>149</v>
      </c>
      <c r="AJ853" s="81" t="s">
        <v>175</v>
      </c>
      <c r="AK853" s="81">
        <v>2003</v>
      </c>
      <c r="AL853" s="81" t="s">
        <v>207</v>
      </c>
      <c r="AM853" s="81" t="s">
        <v>176</v>
      </c>
    </row>
    <row r="854" spans="1:39" x14ac:dyDescent="0.3">
      <c r="A854" s="1">
        <v>29</v>
      </c>
      <c r="B854" s="2">
        <v>214</v>
      </c>
      <c r="D854" s="2">
        <v>0</v>
      </c>
      <c r="F854" s="2">
        <v>0</v>
      </c>
      <c r="K854" s="4">
        <v>2</v>
      </c>
      <c r="L854" s="68">
        <v>150</v>
      </c>
      <c r="N854" s="6">
        <v>5</v>
      </c>
      <c r="O854" s="17">
        <v>150</v>
      </c>
      <c r="P854" s="7">
        <v>0.42</v>
      </c>
      <c r="Q854" s="84">
        <v>0</v>
      </c>
      <c r="R854" s="8">
        <v>2.6760000000000002</v>
      </c>
      <c r="T854" s="9">
        <v>8.0839999999999996</v>
      </c>
      <c r="W854" s="10">
        <v>1</v>
      </c>
      <c r="X854" s="11">
        <v>195</v>
      </c>
      <c r="AB854" s="2">
        <v>47.27</v>
      </c>
      <c r="AC854" s="2">
        <v>496</v>
      </c>
      <c r="AI854" s="81" t="s">
        <v>149</v>
      </c>
      <c r="AJ854" s="81" t="s">
        <v>175</v>
      </c>
      <c r="AK854" s="15">
        <v>2003</v>
      </c>
      <c r="AL854" s="81" t="s">
        <v>207</v>
      </c>
      <c r="AM854" s="81" t="s">
        <v>176</v>
      </c>
    </row>
    <row r="855" spans="1:39" s="82" customFormat="1" x14ac:dyDescent="0.3">
      <c r="A855" s="67">
        <v>32</v>
      </c>
      <c r="B855" s="68">
        <v>263</v>
      </c>
      <c r="C855" s="68"/>
      <c r="D855" s="68">
        <v>0</v>
      </c>
      <c r="E855" s="68"/>
      <c r="F855" s="68">
        <v>1</v>
      </c>
      <c r="G855" s="69">
        <v>5</v>
      </c>
      <c r="H855" s="68"/>
      <c r="I855" s="69"/>
      <c r="J855" s="69"/>
      <c r="K855" s="70">
        <v>2</v>
      </c>
      <c r="L855" s="68">
        <v>210</v>
      </c>
      <c r="M855" s="71"/>
      <c r="N855" s="72">
        <v>5</v>
      </c>
      <c r="O855" s="84">
        <v>195</v>
      </c>
      <c r="P855" s="73">
        <v>1</v>
      </c>
      <c r="Q855" s="84">
        <v>0</v>
      </c>
      <c r="R855" s="74"/>
      <c r="S855" s="74"/>
      <c r="T855" s="75">
        <v>8.4440000000000008</v>
      </c>
      <c r="U855" s="75"/>
      <c r="V855" s="76"/>
      <c r="W855" s="76">
        <v>1</v>
      </c>
      <c r="X855" s="77">
        <v>255</v>
      </c>
      <c r="Y855" s="78"/>
      <c r="Z855" s="79"/>
      <c r="AA855" s="69"/>
      <c r="AB855" s="68">
        <v>58.4</v>
      </c>
      <c r="AC855" s="68">
        <v>778</v>
      </c>
      <c r="AD855" s="68"/>
      <c r="AE855" s="80"/>
      <c r="AF855" s="80"/>
      <c r="AG855" s="80"/>
      <c r="AH855" s="80"/>
      <c r="AI855" s="81" t="s">
        <v>149</v>
      </c>
      <c r="AJ855" s="81" t="s">
        <v>175</v>
      </c>
      <c r="AK855" s="81">
        <v>2003</v>
      </c>
      <c r="AL855" s="81" t="s">
        <v>207</v>
      </c>
      <c r="AM855" s="81" t="s">
        <v>176</v>
      </c>
    </row>
    <row r="856" spans="1:39" s="82" customFormat="1" x14ac:dyDescent="0.3">
      <c r="A856" s="67">
        <v>24</v>
      </c>
      <c r="B856" s="68">
        <v>238</v>
      </c>
      <c r="C856" s="68"/>
      <c r="D856" s="68">
        <v>0</v>
      </c>
      <c r="E856" s="68"/>
      <c r="F856" s="68">
        <v>2</v>
      </c>
      <c r="G856" s="69">
        <v>5</v>
      </c>
      <c r="H856" s="68"/>
      <c r="I856" s="69"/>
      <c r="J856" s="69"/>
      <c r="K856" s="70">
        <v>2</v>
      </c>
      <c r="L856" s="68">
        <v>270</v>
      </c>
      <c r="M856" s="71"/>
      <c r="N856" s="72">
        <v>5</v>
      </c>
      <c r="O856" s="84">
        <v>255</v>
      </c>
      <c r="P856" s="73">
        <v>1</v>
      </c>
      <c r="Q856" s="84">
        <v>0</v>
      </c>
      <c r="R856" s="74"/>
      <c r="S856" s="74"/>
      <c r="T856" s="75">
        <v>8.4440000000000008</v>
      </c>
      <c r="U856" s="75"/>
      <c r="V856" s="76"/>
      <c r="W856" s="76">
        <v>1</v>
      </c>
      <c r="X856" s="77">
        <v>315</v>
      </c>
      <c r="Y856" s="78"/>
      <c r="Z856" s="79"/>
      <c r="AA856" s="69"/>
      <c r="AB856" s="68">
        <v>30</v>
      </c>
      <c r="AC856" s="68">
        <v>288</v>
      </c>
      <c r="AD856" s="68"/>
      <c r="AE856" s="80"/>
      <c r="AF856" s="80"/>
      <c r="AG856" s="80"/>
      <c r="AH856" s="80"/>
      <c r="AI856" s="81" t="s">
        <v>149</v>
      </c>
      <c r="AJ856" s="81" t="s">
        <v>175</v>
      </c>
      <c r="AK856" s="81">
        <v>2003</v>
      </c>
      <c r="AL856" s="81" t="s">
        <v>207</v>
      </c>
      <c r="AM856" s="81" t="s">
        <v>176</v>
      </c>
    </row>
    <row r="857" spans="1:39" s="82" customFormat="1" x14ac:dyDescent="0.3">
      <c r="A857" s="67">
        <v>29</v>
      </c>
      <c r="B857" s="68">
        <v>214</v>
      </c>
      <c r="C857" s="68"/>
      <c r="D857" s="68">
        <v>0</v>
      </c>
      <c r="E857" s="68"/>
      <c r="F857" s="68">
        <v>0</v>
      </c>
      <c r="G857" s="69"/>
      <c r="H857" s="68"/>
      <c r="I857" s="69"/>
      <c r="J857" s="69"/>
      <c r="K857" s="70">
        <v>3</v>
      </c>
      <c r="L857" s="68">
        <v>150</v>
      </c>
      <c r="M857" s="71"/>
      <c r="N857" s="72">
        <v>5.5</v>
      </c>
      <c r="O857" s="84">
        <v>150</v>
      </c>
      <c r="P857" s="73">
        <v>0.42</v>
      </c>
      <c r="Q857" s="84">
        <v>0</v>
      </c>
      <c r="R857" s="74">
        <v>2.891</v>
      </c>
      <c r="S857" s="74"/>
      <c r="T857" s="75">
        <v>6.2430000000000003</v>
      </c>
      <c r="U857" s="75"/>
      <c r="V857" s="76"/>
      <c r="W857" s="76">
        <v>0.79</v>
      </c>
      <c r="X857" s="77">
        <v>195</v>
      </c>
      <c r="Y857" s="78"/>
      <c r="Z857" s="79"/>
      <c r="AA857" s="69"/>
      <c r="AB857" s="68">
        <v>42</v>
      </c>
      <c r="AC857" s="68">
        <v>491</v>
      </c>
      <c r="AD857" s="68"/>
      <c r="AE857" s="80"/>
      <c r="AF857" s="80"/>
      <c r="AG857" s="80"/>
      <c r="AH857" s="80"/>
      <c r="AI857" s="81" t="s">
        <v>149</v>
      </c>
      <c r="AJ857" s="81" t="s">
        <v>175</v>
      </c>
      <c r="AK857" s="81">
        <v>2003</v>
      </c>
      <c r="AL857" s="81" t="s">
        <v>207</v>
      </c>
      <c r="AM857" s="81" t="s">
        <v>176</v>
      </c>
    </row>
    <row r="858" spans="1:39" s="82" customFormat="1" x14ac:dyDescent="0.3">
      <c r="A858" s="67">
        <v>32</v>
      </c>
      <c r="B858" s="68">
        <v>263</v>
      </c>
      <c r="C858" s="68"/>
      <c r="D858" s="68">
        <v>0</v>
      </c>
      <c r="E858" s="68"/>
      <c r="F858" s="68">
        <v>1</v>
      </c>
      <c r="G858" s="69">
        <v>5.5</v>
      </c>
      <c r="H858" s="68"/>
      <c r="I858" s="69"/>
      <c r="J858" s="69"/>
      <c r="K858" s="70">
        <v>3</v>
      </c>
      <c r="L858" s="68">
        <v>210</v>
      </c>
      <c r="M858" s="71"/>
      <c r="N858" s="72">
        <v>5.5</v>
      </c>
      <c r="O858" s="84">
        <v>195</v>
      </c>
      <c r="P858" s="73">
        <v>0.79</v>
      </c>
      <c r="Q858" s="84">
        <v>0</v>
      </c>
      <c r="R858" s="74"/>
      <c r="S858" s="74"/>
      <c r="T858" s="75">
        <v>7.1710000000000003</v>
      </c>
      <c r="U858" s="75"/>
      <c r="V858" s="76"/>
      <c r="W858" s="76">
        <v>1</v>
      </c>
      <c r="X858" s="77">
        <v>255</v>
      </c>
      <c r="Y858" s="78"/>
      <c r="Z858" s="79"/>
      <c r="AA858" s="69"/>
      <c r="AB858" s="68">
        <v>50.89</v>
      </c>
      <c r="AC858" s="68">
        <v>421</v>
      </c>
      <c r="AD858" s="68"/>
      <c r="AE858" s="80"/>
      <c r="AF858" s="80"/>
      <c r="AG858" s="80"/>
      <c r="AH858" s="80"/>
      <c r="AI858" s="81" t="s">
        <v>149</v>
      </c>
      <c r="AJ858" s="81" t="s">
        <v>175</v>
      </c>
      <c r="AK858" s="81">
        <v>2003</v>
      </c>
      <c r="AL858" s="81" t="s">
        <v>207</v>
      </c>
      <c r="AM858" s="81" t="s">
        <v>176</v>
      </c>
    </row>
    <row r="859" spans="1:39" s="82" customFormat="1" x14ac:dyDescent="0.3">
      <c r="A859" s="67">
        <v>24</v>
      </c>
      <c r="B859" s="68">
        <v>238</v>
      </c>
      <c r="C859" s="68"/>
      <c r="D859" s="68">
        <v>0</v>
      </c>
      <c r="E859" s="68"/>
      <c r="F859" s="68">
        <v>2</v>
      </c>
      <c r="G859" s="69">
        <v>5.5</v>
      </c>
      <c r="H859" s="68"/>
      <c r="I859" s="69"/>
      <c r="J859" s="69"/>
      <c r="K859" s="70">
        <v>3</v>
      </c>
      <c r="L859" s="68">
        <v>270</v>
      </c>
      <c r="M859" s="71"/>
      <c r="N859" s="72">
        <v>5.5</v>
      </c>
      <c r="O859" s="84">
        <v>255</v>
      </c>
      <c r="P859" s="73">
        <v>1</v>
      </c>
      <c r="Q859" s="84">
        <v>0</v>
      </c>
      <c r="R859" s="74"/>
      <c r="S859" s="74"/>
      <c r="T859" s="75">
        <v>7.407</v>
      </c>
      <c r="U859" s="75"/>
      <c r="V859" s="76"/>
      <c r="W859" s="76">
        <v>1</v>
      </c>
      <c r="X859" s="77">
        <v>315</v>
      </c>
      <c r="Y859" s="78"/>
      <c r="Z859" s="79"/>
      <c r="AA859" s="69"/>
      <c r="AB859" s="68">
        <v>45.4</v>
      </c>
      <c r="AC859" s="68">
        <v>596</v>
      </c>
      <c r="AD859" s="68"/>
      <c r="AE859" s="80"/>
      <c r="AF859" s="80"/>
      <c r="AG859" s="80"/>
      <c r="AH859" s="80"/>
      <c r="AI859" s="81" t="s">
        <v>149</v>
      </c>
      <c r="AJ859" s="81" t="s">
        <v>175</v>
      </c>
      <c r="AK859" s="81">
        <v>2003</v>
      </c>
      <c r="AL859" s="81" t="s">
        <v>207</v>
      </c>
      <c r="AM859" s="81" t="s">
        <v>176</v>
      </c>
    </row>
    <row r="860" spans="1:39" s="82" customFormat="1" x14ac:dyDescent="0.3">
      <c r="A860" s="67">
        <v>0</v>
      </c>
      <c r="B860" s="68">
        <v>83</v>
      </c>
      <c r="C860" s="68"/>
      <c r="D860" s="68">
        <v>0</v>
      </c>
      <c r="E860" s="68"/>
      <c r="F860" s="68">
        <v>0</v>
      </c>
      <c r="G860" s="69"/>
      <c r="H860" s="68"/>
      <c r="I860" s="69"/>
      <c r="J860" s="69"/>
      <c r="K860" s="70">
        <v>1</v>
      </c>
      <c r="L860" s="68">
        <f>6*365</f>
        <v>2190</v>
      </c>
      <c r="M860" s="71"/>
      <c r="N860" s="72"/>
      <c r="O860" s="84"/>
      <c r="P860" s="73"/>
      <c r="Q860" s="84"/>
      <c r="R860" s="74"/>
      <c r="S860" s="74"/>
      <c r="T860" s="75"/>
      <c r="U860" s="75"/>
      <c r="V860" s="76"/>
      <c r="W860" s="76"/>
      <c r="X860" s="77"/>
      <c r="Y860" s="78">
        <v>1</v>
      </c>
      <c r="Z860" s="79"/>
      <c r="AA860" s="69"/>
      <c r="AB860" s="68"/>
      <c r="AC860" s="68"/>
      <c r="AD860" s="68"/>
      <c r="AE860" s="80"/>
      <c r="AF860" s="80"/>
      <c r="AG860" s="80"/>
      <c r="AH860" s="80" t="s">
        <v>402</v>
      </c>
      <c r="AI860" s="81" t="s">
        <v>458</v>
      </c>
      <c r="AJ860" s="81" t="s">
        <v>459</v>
      </c>
      <c r="AK860" s="81">
        <v>1950</v>
      </c>
      <c r="AL860" s="81" t="s">
        <v>460</v>
      </c>
      <c r="AM860" s="81" t="s">
        <v>461</v>
      </c>
    </row>
    <row r="861" spans="1:39" s="82" customFormat="1" x14ac:dyDescent="0.3">
      <c r="A861" s="67">
        <v>168</v>
      </c>
      <c r="B861" s="68">
        <v>0</v>
      </c>
      <c r="C861" s="68"/>
      <c r="D861" s="68">
        <v>0</v>
      </c>
      <c r="E861" s="68"/>
      <c r="F861" s="68">
        <v>0</v>
      </c>
      <c r="G861" s="69"/>
      <c r="H861" s="68"/>
      <c r="I861" s="69"/>
      <c r="J861" s="69"/>
      <c r="K861" s="70">
        <v>1</v>
      </c>
      <c r="L861" s="68">
        <v>1740</v>
      </c>
      <c r="M861" s="71">
        <v>20</v>
      </c>
      <c r="N861" s="72"/>
      <c r="O861" s="84"/>
      <c r="P861" s="73"/>
      <c r="Q861" s="84">
        <v>0</v>
      </c>
      <c r="R861" s="74"/>
      <c r="S861" s="74"/>
      <c r="T861" s="75"/>
      <c r="U861" s="75"/>
      <c r="V861" s="76"/>
      <c r="W861" s="76"/>
      <c r="X861" s="77"/>
      <c r="Y861" s="78"/>
      <c r="Z861" s="79"/>
      <c r="AA861" s="69"/>
      <c r="AB861" s="68"/>
      <c r="AC861" s="68"/>
      <c r="AD861" s="68"/>
      <c r="AE861" s="80"/>
      <c r="AF861" s="80"/>
      <c r="AG861" s="80"/>
      <c r="AH861" s="80"/>
      <c r="AI861" s="81" t="s">
        <v>260</v>
      </c>
      <c r="AJ861" s="81" t="s">
        <v>246</v>
      </c>
      <c r="AK861" s="81">
        <v>1976</v>
      </c>
      <c r="AL861" s="81" t="s">
        <v>247</v>
      </c>
      <c r="AM861" s="81" t="s">
        <v>546</v>
      </c>
    </row>
    <row r="862" spans="1:39" s="82" customFormat="1" x14ac:dyDescent="0.3">
      <c r="A862" s="67">
        <v>168</v>
      </c>
      <c r="B862" s="68">
        <v>0</v>
      </c>
      <c r="C862" s="68"/>
      <c r="D862" s="68">
        <v>1</v>
      </c>
      <c r="E862" s="68">
        <v>20</v>
      </c>
      <c r="F862" s="68">
        <v>0</v>
      </c>
      <c r="G862" s="69"/>
      <c r="H862" s="68"/>
      <c r="I862" s="69"/>
      <c r="J862" s="69"/>
      <c r="K862" s="70">
        <v>1</v>
      </c>
      <c r="L862" s="68">
        <v>4441</v>
      </c>
      <c r="M862" s="71"/>
      <c r="N862" s="72">
        <v>6</v>
      </c>
      <c r="O862" s="84"/>
      <c r="P862" s="73"/>
      <c r="Q862" s="84">
        <v>0</v>
      </c>
      <c r="R862" s="74"/>
      <c r="S862" s="74"/>
      <c r="T862" s="75"/>
      <c r="U862" s="75"/>
      <c r="V862" s="76"/>
      <c r="W862" s="76"/>
      <c r="X862" s="77"/>
      <c r="Y862" s="78"/>
      <c r="Z862" s="79"/>
      <c r="AA862" s="69"/>
      <c r="AB862" s="68"/>
      <c r="AC862" s="68"/>
      <c r="AD862" s="68"/>
      <c r="AE862" s="80"/>
      <c r="AF862" s="80"/>
      <c r="AG862" s="80"/>
      <c r="AH862" s="80"/>
      <c r="AI862" s="81" t="s">
        <v>260</v>
      </c>
      <c r="AJ862" s="81" t="s">
        <v>246</v>
      </c>
      <c r="AK862" s="81">
        <v>1976</v>
      </c>
      <c r="AL862" s="81" t="s">
        <v>247</v>
      </c>
      <c r="AM862" s="81" t="s">
        <v>546</v>
      </c>
    </row>
    <row r="863" spans="1:39" s="82" customFormat="1" x14ac:dyDescent="0.3">
      <c r="A863" s="67">
        <v>168</v>
      </c>
      <c r="B863" s="68">
        <v>0</v>
      </c>
      <c r="C863" s="68"/>
      <c r="D863" s="68">
        <v>1</v>
      </c>
      <c r="E863" s="68">
        <v>20</v>
      </c>
      <c r="F863" s="68">
        <v>1</v>
      </c>
      <c r="G863" s="69">
        <v>6</v>
      </c>
      <c r="H863" s="68"/>
      <c r="I863" s="69"/>
      <c r="J863" s="69"/>
      <c r="K863" s="70">
        <v>1</v>
      </c>
      <c r="L863" s="68">
        <v>6120</v>
      </c>
      <c r="M863" s="71"/>
      <c r="N863" s="72">
        <v>6</v>
      </c>
      <c r="O863" s="84">
        <v>6120</v>
      </c>
      <c r="P863" s="73">
        <v>0.78</v>
      </c>
      <c r="Q863" s="84">
        <v>0</v>
      </c>
      <c r="R863" s="74">
        <v>6.7</v>
      </c>
      <c r="S863" s="74">
        <v>12.28</v>
      </c>
      <c r="T863" s="75">
        <v>10.02</v>
      </c>
      <c r="U863" s="75">
        <v>3.95</v>
      </c>
      <c r="V863" s="76">
        <v>0.38100000000000001</v>
      </c>
      <c r="W863" s="76">
        <v>0.98199999999999998</v>
      </c>
      <c r="X863" s="77">
        <f>L863+42</f>
        <v>6162</v>
      </c>
      <c r="Y863" s="78">
        <v>0.39</v>
      </c>
      <c r="Z863" s="79"/>
      <c r="AA863" s="69"/>
      <c r="AB863" s="68"/>
      <c r="AC863" s="68"/>
      <c r="AD863" s="68"/>
      <c r="AE863" s="80"/>
      <c r="AF863" s="80"/>
      <c r="AG863" s="80"/>
      <c r="AH863" s="80"/>
      <c r="AI863" s="81" t="s">
        <v>260</v>
      </c>
      <c r="AJ863" s="81" t="s">
        <v>246</v>
      </c>
      <c r="AK863" s="81">
        <v>1976</v>
      </c>
      <c r="AL863" s="81" t="s">
        <v>247</v>
      </c>
      <c r="AM863" s="81" t="s">
        <v>546</v>
      </c>
    </row>
    <row r="864" spans="1:39" s="82" customFormat="1" x14ac:dyDescent="0.3">
      <c r="A864" s="67">
        <v>0</v>
      </c>
      <c r="B864" s="68">
        <v>16</v>
      </c>
      <c r="C864" s="68"/>
      <c r="D864" s="68">
        <v>1</v>
      </c>
      <c r="E864" s="68">
        <v>20</v>
      </c>
      <c r="F864" s="68">
        <v>1</v>
      </c>
      <c r="G864" s="69">
        <v>6</v>
      </c>
      <c r="H864" s="68"/>
      <c r="I864" s="69"/>
      <c r="J864" s="69"/>
      <c r="K864" s="70">
        <v>1</v>
      </c>
      <c r="L864" s="68">
        <v>6120</v>
      </c>
      <c r="M864" s="71"/>
      <c r="N864" s="72">
        <v>6</v>
      </c>
      <c r="O864" s="84">
        <v>6120</v>
      </c>
      <c r="P864" s="73">
        <v>0</v>
      </c>
      <c r="Q864" s="84">
        <v>0</v>
      </c>
      <c r="R864" s="74">
        <v>0</v>
      </c>
      <c r="S864" s="74">
        <v>0.7</v>
      </c>
      <c r="T864" s="75"/>
      <c r="U864" s="75"/>
      <c r="V864" s="76"/>
      <c r="W864" s="76"/>
      <c r="X864" s="77"/>
      <c r="Y864" s="78">
        <v>0.94</v>
      </c>
      <c r="Z864" s="79"/>
      <c r="AA864" s="69"/>
      <c r="AB864" s="68"/>
      <c r="AC864" s="68"/>
      <c r="AD864" s="68"/>
      <c r="AE864" s="80"/>
      <c r="AF864" s="80"/>
      <c r="AG864" s="80"/>
      <c r="AH864" s="80"/>
      <c r="AI864" s="81" t="s">
        <v>313</v>
      </c>
      <c r="AJ864" s="81" t="s">
        <v>246</v>
      </c>
      <c r="AK864" s="81">
        <v>1976</v>
      </c>
      <c r="AL864" s="81" t="s">
        <v>247</v>
      </c>
      <c r="AM864" s="81" t="s">
        <v>307</v>
      </c>
    </row>
    <row r="865" spans="1:39" s="82" customFormat="1" x14ac:dyDescent="0.3">
      <c r="A865" s="67">
        <v>0</v>
      </c>
      <c r="B865" s="68">
        <v>66</v>
      </c>
      <c r="C865" s="68"/>
      <c r="D865" s="68">
        <v>1</v>
      </c>
      <c r="E865" s="68">
        <v>20</v>
      </c>
      <c r="F865" s="68">
        <v>1</v>
      </c>
      <c r="G865" s="69">
        <v>6</v>
      </c>
      <c r="H865" s="68"/>
      <c r="I865" s="69"/>
      <c r="J865" s="69"/>
      <c r="K865" s="70">
        <v>1</v>
      </c>
      <c r="L865" s="68">
        <v>6120</v>
      </c>
      <c r="M865" s="71"/>
      <c r="N865" s="72">
        <v>6</v>
      </c>
      <c r="O865" s="84">
        <v>6120</v>
      </c>
      <c r="P865" s="73">
        <v>1</v>
      </c>
      <c r="Q865" s="84">
        <v>0</v>
      </c>
      <c r="R865" s="74">
        <v>10</v>
      </c>
      <c r="S865" s="74">
        <v>0.7</v>
      </c>
      <c r="T865" s="75"/>
      <c r="U865" s="75"/>
      <c r="V865" s="76"/>
      <c r="W865" s="76"/>
      <c r="X865" s="77"/>
      <c r="Y865" s="78">
        <v>0.17</v>
      </c>
      <c r="Z865" s="79"/>
      <c r="AA865" s="69"/>
      <c r="AB865" s="68"/>
      <c r="AC865" s="68"/>
      <c r="AD865" s="68"/>
      <c r="AE865" s="80"/>
      <c r="AF865" s="80"/>
      <c r="AG865" s="80"/>
      <c r="AH865" s="80"/>
      <c r="AI865" s="81" t="s">
        <v>317</v>
      </c>
      <c r="AJ865" s="81" t="s">
        <v>246</v>
      </c>
      <c r="AK865" s="81">
        <v>1976</v>
      </c>
      <c r="AL865" s="81" t="s">
        <v>247</v>
      </c>
      <c r="AM865" s="81" t="s">
        <v>307</v>
      </c>
    </row>
    <row r="866" spans="1:39" s="82" customFormat="1" x14ac:dyDescent="0.3">
      <c r="A866" s="67">
        <v>0</v>
      </c>
      <c r="B866" s="68">
        <v>15</v>
      </c>
      <c r="C866" s="68"/>
      <c r="D866" s="68">
        <v>1</v>
      </c>
      <c r="E866" s="68">
        <v>20</v>
      </c>
      <c r="F866" s="68">
        <v>1</v>
      </c>
      <c r="G866" s="69">
        <v>6</v>
      </c>
      <c r="H866" s="68"/>
      <c r="I866" s="69"/>
      <c r="J866" s="69"/>
      <c r="K866" s="70">
        <v>1</v>
      </c>
      <c r="L866" s="68">
        <v>6120</v>
      </c>
      <c r="M866" s="71"/>
      <c r="N866" s="72">
        <v>6</v>
      </c>
      <c r="O866" s="84">
        <v>6120</v>
      </c>
      <c r="P866" s="73">
        <v>1</v>
      </c>
      <c r="Q866" s="84">
        <v>0</v>
      </c>
      <c r="R866" s="74">
        <v>12</v>
      </c>
      <c r="S866" s="74">
        <v>0.7</v>
      </c>
      <c r="T866" s="75"/>
      <c r="U866" s="75"/>
      <c r="V866" s="76"/>
      <c r="W866" s="76"/>
      <c r="X866" s="77"/>
      <c r="Y866" s="78">
        <v>7.0000000000000007E-2</v>
      </c>
      <c r="Z866" s="79"/>
      <c r="AA866" s="69"/>
      <c r="AB866" s="68"/>
      <c r="AC866" s="68"/>
      <c r="AD866" s="68"/>
      <c r="AE866" s="80"/>
      <c r="AF866" s="80"/>
      <c r="AG866" s="80"/>
      <c r="AH866" s="80"/>
      <c r="AI866" s="81" t="s">
        <v>318</v>
      </c>
      <c r="AJ866" s="81" t="s">
        <v>246</v>
      </c>
      <c r="AK866" s="81">
        <v>1976</v>
      </c>
      <c r="AL866" s="81" t="s">
        <v>247</v>
      </c>
      <c r="AM866" s="81" t="s">
        <v>307</v>
      </c>
    </row>
    <row r="867" spans="1:39" s="82" customFormat="1" x14ac:dyDescent="0.3">
      <c r="A867" s="67">
        <v>0</v>
      </c>
      <c r="B867" s="68">
        <v>5</v>
      </c>
      <c r="C867" s="68"/>
      <c r="D867" s="68">
        <v>1</v>
      </c>
      <c r="E867" s="68">
        <v>20</v>
      </c>
      <c r="F867" s="68">
        <v>1</v>
      </c>
      <c r="G867" s="69">
        <v>6</v>
      </c>
      <c r="H867" s="68"/>
      <c r="I867" s="69"/>
      <c r="J867" s="69"/>
      <c r="K867" s="70">
        <v>1</v>
      </c>
      <c r="L867" s="68">
        <v>6120</v>
      </c>
      <c r="M867" s="71"/>
      <c r="N867" s="72">
        <v>6</v>
      </c>
      <c r="O867" s="84">
        <v>6120</v>
      </c>
      <c r="P867" s="73">
        <v>0</v>
      </c>
      <c r="Q867" s="84">
        <v>0</v>
      </c>
      <c r="R867" s="74">
        <v>2</v>
      </c>
      <c r="S867" s="74">
        <v>0.7</v>
      </c>
      <c r="T867" s="75"/>
      <c r="U867" s="75"/>
      <c r="V867" s="76"/>
      <c r="W867" s="76"/>
      <c r="X867" s="77"/>
      <c r="Y867" s="78">
        <v>1</v>
      </c>
      <c r="Z867" s="79"/>
      <c r="AA867" s="69"/>
      <c r="AB867" s="68"/>
      <c r="AC867" s="68"/>
      <c r="AD867" s="68"/>
      <c r="AE867" s="80"/>
      <c r="AF867" s="80"/>
      <c r="AG867" s="80"/>
      <c r="AH867" s="80"/>
      <c r="AI867" s="81" t="s">
        <v>314</v>
      </c>
      <c r="AJ867" s="81" t="s">
        <v>246</v>
      </c>
      <c r="AK867" s="81">
        <v>1976</v>
      </c>
      <c r="AL867" s="81" t="s">
        <v>247</v>
      </c>
      <c r="AM867" s="81" t="s">
        <v>307</v>
      </c>
    </row>
    <row r="868" spans="1:39" s="82" customFormat="1" x14ac:dyDescent="0.3">
      <c r="A868" s="67">
        <v>0</v>
      </c>
      <c r="B868" s="68">
        <v>0</v>
      </c>
      <c r="C868" s="68"/>
      <c r="D868" s="68">
        <v>1</v>
      </c>
      <c r="E868" s="68">
        <v>20</v>
      </c>
      <c r="F868" s="68">
        <v>1</v>
      </c>
      <c r="G868" s="69">
        <v>6</v>
      </c>
      <c r="H868" s="68"/>
      <c r="I868" s="69"/>
      <c r="J868" s="69"/>
      <c r="K868" s="70">
        <v>1</v>
      </c>
      <c r="L868" s="68">
        <v>6120</v>
      </c>
      <c r="M868" s="71"/>
      <c r="N868" s="72">
        <v>6</v>
      </c>
      <c r="O868" s="84"/>
      <c r="P868" s="73"/>
      <c r="Q868" s="84">
        <v>0</v>
      </c>
      <c r="R868" s="74"/>
      <c r="S868" s="74"/>
      <c r="T868" s="75"/>
      <c r="U868" s="75"/>
      <c r="V868" s="76"/>
      <c r="W868" s="76"/>
      <c r="X868" s="77"/>
      <c r="Y868" s="78"/>
      <c r="Z868" s="79"/>
      <c r="AA868" s="69"/>
      <c r="AB868" s="68"/>
      <c r="AC868" s="68"/>
      <c r="AD868" s="68"/>
      <c r="AE868" s="80"/>
      <c r="AF868" s="80"/>
      <c r="AG868" s="80"/>
      <c r="AH868" s="80"/>
      <c r="AI868" s="81" t="s">
        <v>319</v>
      </c>
      <c r="AJ868" s="81" t="s">
        <v>246</v>
      </c>
      <c r="AK868" s="81">
        <v>1976</v>
      </c>
      <c r="AL868" s="81" t="s">
        <v>247</v>
      </c>
      <c r="AM868" s="81" t="s">
        <v>322</v>
      </c>
    </row>
    <row r="869" spans="1:39" s="82" customFormat="1" x14ac:dyDescent="0.3">
      <c r="A869" s="67">
        <v>0</v>
      </c>
      <c r="B869" s="68">
        <v>34</v>
      </c>
      <c r="C869" s="68"/>
      <c r="D869" s="68">
        <v>1</v>
      </c>
      <c r="E869" s="68">
        <v>20</v>
      </c>
      <c r="F869" s="68">
        <v>1</v>
      </c>
      <c r="G869" s="69">
        <v>6</v>
      </c>
      <c r="H869" s="68"/>
      <c r="I869" s="69"/>
      <c r="J869" s="69"/>
      <c r="K869" s="70">
        <v>1</v>
      </c>
      <c r="L869" s="68">
        <v>6120</v>
      </c>
      <c r="M869" s="71"/>
      <c r="N869" s="72">
        <v>6</v>
      </c>
      <c r="O869" s="84">
        <v>6120</v>
      </c>
      <c r="P869" s="73">
        <v>1</v>
      </c>
      <c r="Q869" s="84">
        <v>0</v>
      </c>
      <c r="R869" s="74">
        <v>4</v>
      </c>
      <c r="S869" s="74">
        <v>0.7</v>
      </c>
      <c r="T869" s="75"/>
      <c r="U869" s="75"/>
      <c r="V869" s="76"/>
      <c r="W869" s="76"/>
      <c r="X869" s="77"/>
      <c r="Y869" s="78">
        <v>0.65</v>
      </c>
      <c r="Z869" s="79"/>
      <c r="AA869" s="69"/>
      <c r="AB869" s="68"/>
      <c r="AC869" s="68"/>
      <c r="AD869" s="68"/>
      <c r="AE869" s="80"/>
      <c r="AF869" s="80"/>
      <c r="AG869" s="80"/>
      <c r="AH869" s="80"/>
      <c r="AI869" s="81" t="s">
        <v>315</v>
      </c>
      <c r="AJ869" s="81" t="s">
        <v>246</v>
      </c>
      <c r="AK869" s="81">
        <v>1976</v>
      </c>
      <c r="AL869" s="81" t="s">
        <v>247</v>
      </c>
      <c r="AM869" s="81" t="s">
        <v>307</v>
      </c>
    </row>
    <row r="870" spans="1:39" s="82" customFormat="1" x14ac:dyDescent="0.3">
      <c r="A870" s="67">
        <v>0</v>
      </c>
      <c r="B870" s="68">
        <v>0</v>
      </c>
      <c r="C870" s="68"/>
      <c r="D870" s="68">
        <v>1</v>
      </c>
      <c r="E870" s="68">
        <v>20</v>
      </c>
      <c r="F870" s="68">
        <v>1</v>
      </c>
      <c r="G870" s="69">
        <v>6</v>
      </c>
      <c r="H870" s="68"/>
      <c r="I870" s="69"/>
      <c r="J870" s="69"/>
      <c r="K870" s="70">
        <v>1</v>
      </c>
      <c r="L870" s="68">
        <v>6120</v>
      </c>
      <c r="M870" s="71"/>
      <c r="N870" s="72">
        <v>6</v>
      </c>
      <c r="O870" s="84"/>
      <c r="P870" s="73"/>
      <c r="Q870" s="84">
        <v>0</v>
      </c>
      <c r="R870" s="74"/>
      <c r="S870" s="74"/>
      <c r="T870" s="75"/>
      <c r="U870" s="75"/>
      <c r="V870" s="76"/>
      <c r="W870" s="76"/>
      <c r="X870" s="77"/>
      <c r="Y870" s="78"/>
      <c r="Z870" s="79"/>
      <c r="AA870" s="69"/>
      <c r="AB870" s="68"/>
      <c r="AC870" s="68"/>
      <c r="AD870" s="68"/>
      <c r="AE870" s="80"/>
      <c r="AF870" s="80"/>
      <c r="AG870" s="80"/>
      <c r="AH870" s="80"/>
      <c r="AI870" s="81" t="s">
        <v>320</v>
      </c>
      <c r="AJ870" s="81" t="s">
        <v>246</v>
      </c>
      <c r="AK870" s="81">
        <v>1976</v>
      </c>
      <c r="AL870" s="81" t="s">
        <v>247</v>
      </c>
      <c r="AM870" s="81" t="s">
        <v>322</v>
      </c>
    </row>
    <row r="871" spans="1:39" s="82" customFormat="1" x14ac:dyDescent="0.3">
      <c r="A871" s="67">
        <v>0</v>
      </c>
      <c r="B871" s="68">
        <v>29</v>
      </c>
      <c r="C871" s="68"/>
      <c r="D871" s="68">
        <v>1</v>
      </c>
      <c r="E871" s="68">
        <v>20</v>
      </c>
      <c r="F871" s="68">
        <v>1</v>
      </c>
      <c r="G871" s="69">
        <v>6</v>
      </c>
      <c r="H871" s="68"/>
      <c r="I871" s="69"/>
      <c r="J871" s="69"/>
      <c r="K871" s="70">
        <v>1</v>
      </c>
      <c r="L871" s="68">
        <v>6120</v>
      </c>
      <c r="M871" s="71"/>
      <c r="N871" s="72">
        <v>6</v>
      </c>
      <c r="O871" s="84">
        <v>6120</v>
      </c>
      <c r="P871" s="73">
        <v>1</v>
      </c>
      <c r="Q871" s="84">
        <v>0</v>
      </c>
      <c r="R871" s="74">
        <v>7</v>
      </c>
      <c r="S871" s="74">
        <v>1</v>
      </c>
      <c r="T871" s="75"/>
      <c r="U871" s="75"/>
      <c r="V871" s="76"/>
      <c r="W871" s="76"/>
      <c r="X871" s="77"/>
      <c r="Y871" s="78">
        <v>0.31</v>
      </c>
      <c r="Z871" s="79"/>
      <c r="AA871" s="69"/>
      <c r="AB871" s="68"/>
      <c r="AC871" s="68"/>
      <c r="AD871" s="68"/>
      <c r="AE871" s="80"/>
      <c r="AF871" s="80"/>
      <c r="AG871" s="80"/>
      <c r="AH871" s="80"/>
      <c r="AI871" s="81" t="s">
        <v>316</v>
      </c>
      <c r="AJ871" s="81" t="s">
        <v>246</v>
      </c>
      <c r="AK871" s="81">
        <v>1976</v>
      </c>
      <c r="AL871" s="81" t="s">
        <v>247</v>
      </c>
      <c r="AM871" s="81" t="s">
        <v>307</v>
      </c>
    </row>
    <row r="872" spans="1:39" s="82" customFormat="1" x14ac:dyDescent="0.3">
      <c r="A872" s="67">
        <v>0</v>
      </c>
      <c r="B872" s="68">
        <v>0</v>
      </c>
      <c r="C872" s="68"/>
      <c r="D872" s="68">
        <v>1</v>
      </c>
      <c r="E872" s="68">
        <v>20</v>
      </c>
      <c r="F872" s="68">
        <v>1</v>
      </c>
      <c r="G872" s="69">
        <v>6</v>
      </c>
      <c r="H872" s="68"/>
      <c r="I872" s="69"/>
      <c r="J872" s="69"/>
      <c r="K872" s="70">
        <v>1</v>
      </c>
      <c r="L872" s="68">
        <v>6120</v>
      </c>
      <c r="M872" s="71"/>
      <c r="N872" s="72">
        <v>6</v>
      </c>
      <c r="O872" s="84"/>
      <c r="P872" s="73"/>
      <c r="Q872" s="84">
        <v>0</v>
      </c>
      <c r="R872" s="74"/>
      <c r="S872" s="74"/>
      <c r="T872" s="75"/>
      <c r="U872" s="75"/>
      <c r="V872" s="76"/>
      <c r="W872" s="76"/>
      <c r="X872" s="77"/>
      <c r="Y872" s="78"/>
      <c r="Z872" s="79"/>
      <c r="AA872" s="69"/>
      <c r="AB872" s="68"/>
      <c r="AC872" s="68"/>
      <c r="AD872" s="68"/>
      <c r="AE872" s="80"/>
      <c r="AF872" s="80"/>
      <c r="AG872" s="80"/>
      <c r="AH872" s="80"/>
      <c r="AI872" s="81" t="s">
        <v>321</v>
      </c>
      <c r="AJ872" s="81" t="s">
        <v>246</v>
      </c>
      <c r="AK872" s="81">
        <v>1976</v>
      </c>
      <c r="AL872" s="81" t="s">
        <v>247</v>
      </c>
      <c r="AM872" s="81" t="s">
        <v>322</v>
      </c>
    </row>
    <row r="873" spans="1:39" s="82" customFormat="1" x14ac:dyDescent="0.3">
      <c r="A873" s="67">
        <v>0</v>
      </c>
      <c r="B873" s="68">
        <v>0</v>
      </c>
      <c r="C873" s="68"/>
      <c r="D873" s="68">
        <v>0</v>
      </c>
      <c r="E873" s="68"/>
      <c r="F873" s="68">
        <v>0</v>
      </c>
      <c r="G873" s="69"/>
      <c r="H873" s="68"/>
      <c r="I873" s="69"/>
      <c r="J873" s="69"/>
      <c r="K873" s="70">
        <v>1</v>
      </c>
      <c r="L873" s="68">
        <v>1740</v>
      </c>
      <c r="M873" s="71">
        <v>20</v>
      </c>
      <c r="N873" s="72"/>
      <c r="O873" s="84"/>
      <c r="P873" s="73"/>
      <c r="Q873" s="84">
        <v>0</v>
      </c>
      <c r="R873" s="74"/>
      <c r="S873" s="74"/>
      <c r="T873" s="75"/>
      <c r="U873" s="75"/>
      <c r="V873" s="76"/>
      <c r="W873" s="76"/>
      <c r="X873" s="77"/>
      <c r="Y873" s="78"/>
      <c r="Z873" s="79"/>
      <c r="AA873" s="69"/>
      <c r="AB873" s="68"/>
      <c r="AC873" s="68"/>
      <c r="AD873" s="68"/>
      <c r="AE873" s="80"/>
      <c r="AF873" s="80"/>
      <c r="AG873" s="80"/>
      <c r="AH873" s="80"/>
      <c r="AI873" s="81" t="s">
        <v>249</v>
      </c>
      <c r="AJ873" s="81" t="s">
        <v>246</v>
      </c>
      <c r="AK873" s="81">
        <v>1976</v>
      </c>
      <c r="AL873" s="81" t="s">
        <v>247</v>
      </c>
      <c r="AM873" s="81" t="s">
        <v>546</v>
      </c>
    </row>
    <row r="874" spans="1:39" s="82" customFormat="1" x14ac:dyDescent="0.3">
      <c r="A874" s="67">
        <v>0</v>
      </c>
      <c r="B874" s="68">
        <v>0</v>
      </c>
      <c r="C874" s="68"/>
      <c r="D874" s="68">
        <v>1</v>
      </c>
      <c r="E874" s="68">
        <v>20</v>
      </c>
      <c r="F874" s="68">
        <v>0</v>
      </c>
      <c r="G874" s="69"/>
      <c r="H874" s="68"/>
      <c r="I874" s="69"/>
      <c r="J874" s="69"/>
      <c r="K874" s="70">
        <v>1</v>
      </c>
      <c r="L874" s="68">
        <v>4441</v>
      </c>
      <c r="M874" s="71"/>
      <c r="N874" s="72">
        <v>6</v>
      </c>
      <c r="O874" s="84"/>
      <c r="P874" s="73"/>
      <c r="Q874" s="84">
        <v>0</v>
      </c>
      <c r="R874" s="74"/>
      <c r="S874" s="74"/>
      <c r="T874" s="75"/>
      <c r="U874" s="75"/>
      <c r="V874" s="76"/>
      <c r="W874" s="76"/>
      <c r="X874" s="77"/>
      <c r="Y874" s="78"/>
      <c r="Z874" s="79"/>
      <c r="AA874" s="69"/>
      <c r="AB874" s="68"/>
      <c r="AC874" s="68"/>
      <c r="AD874" s="68"/>
      <c r="AE874" s="80"/>
      <c r="AF874" s="80"/>
      <c r="AG874" s="80"/>
      <c r="AH874" s="80"/>
      <c r="AI874" s="81" t="s">
        <v>249</v>
      </c>
      <c r="AJ874" s="81" t="s">
        <v>246</v>
      </c>
      <c r="AK874" s="81">
        <v>1976</v>
      </c>
      <c r="AL874" s="81" t="s">
        <v>247</v>
      </c>
      <c r="AM874" s="81" t="s">
        <v>546</v>
      </c>
    </row>
    <row r="875" spans="1:39" s="82" customFormat="1" x14ac:dyDescent="0.3">
      <c r="A875" s="67">
        <v>0</v>
      </c>
      <c r="B875" s="68">
        <v>45</v>
      </c>
      <c r="C875" s="68"/>
      <c r="D875" s="68">
        <v>1</v>
      </c>
      <c r="E875" s="68">
        <v>20</v>
      </c>
      <c r="F875" s="68">
        <v>1</v>
      </c>
      <c r="G875" s="69">
        <v>6</v>
      </c>
      <c r="H875" s="68"/>
      <c r="I875" s="69"/>
      <c r="J875" s="69"/>
      <c r="K875" s="70">
        <v>1</v>
      </c>
      <c r="L875" s="68">
        <v>6120</v>
      </c>
      <c r="M875" s="71"/>
      <c r="N875" s="72">
        <v>6</v>
      </c>
      <c r="O875" s="84">
        <v>6120</v>
      </c>
      <c r="P875" s="73">
        <f>51/53</f>
        <v>0.96226415094339623</v>
      </c>
      <c r="Q875" s="84">
        <v>0</v>
      </c>
      <c r="R875" s="74">
        <v>8.51</v>
      </c>
      <c r="S875" s="74">
        <v>8.5500000000000007</v>
      </c>
      <c r="T875" s="75">
        <v>11.7</v>
      </c>
      <c r="U875" s="75"/>
      <c r="V875" s="76"/>
      <c r="W875" s="76"/>
      <c r="X875" s="77">
        <f>L875+42</f>
        <v>6162</v>
      </c>
      <c r="Y875" s="78">
        <v>0.2</v>
      </c>
      <c r="Z875" s="79"/>
      <c r="AA875" s="69"/>
      <c r="AB875" s="68"/>
      <c r="AC875" s="68"/>
      <c r="AD875" s="68"/>
      <c r="AE875" s="80"/>
      <c r="AF875" s="80"/>
      <c r="AG875" s="80"/>
      <c r="AH875" s="80"/>
      <c r="AI875" s="81" t="s">
        <v>249</v>
      </c>
      <c r="AJ875" s="81" t="s">
        <v>246</v>
      </c>
      <c r="AK875" s="81">
        <v>1976</v>
      </c>
      <c r="AL875" s="81" t="s">
        <v>247</v>
      </c>
      <c r="AM875" s="81" t="s">
        <v>307</v>
      </c>
    </row>
    <row r="876" spans="1:39" s="82" customFormat="1" x14ac:dyDescent="0.3">
      <c r="A876" s="67">
        <v>0</v>
      </c>
      <c r="B876" s="68">
        <v>0</v>
      </c>
      <c r="C876" s="68"/>
      <c r="D876" s="68">
        <v>0</v>
      </c>
      <c r="E876" s="68"/>
      <c r="F876" s="68">
        <v>0</v>
      </c>
      <c r="G876" s="69"/>
      <c r="H876" s="68"/>
      <c r="I876" s="69"/>
      <c r="J876" s="69"/>
      <c r="K876" s="70">
        <v>1</v>
      </c>
      <c r="L876" s="68">
        <v>1740</v>
      </c>
      <c r="M876" s="71">
        <v>20</v>
      </c>
      <c r="N876" s="72"/>
      <c r="O876" s="84"/>
      <c r="P876" s="73"/>
      <c r="Q876" s="84">
        <v>0</v>
      </c>
      <c r="R876" s="74"/>
      <c r="S876" s="74"/>
      <c r="T876" s="75"/>
      <c r="U876" s="75"/>
      <c r="V876" s="76"/>
      <c r="W876" s="76"/>
      <c r="X876" s="77"/>
      <c r="Y876" s="78"/>
      <c r="Z876" s="79"/>
      <c r="AA876" s="69"/>
      <c r="AB876" s="68"/>
      <c r="AC876" s="68"/>
      <c r="AD876" s="68"/>
      <c r="AE876" s="80"/>
      <c r="AF876" s="80"/>
      <c r="AG876" s="80"/>
      <c r="AH876" s="80"/>
      <c r="AI876" s="81" t="s">
        <v>248</v>
      </c>
      <c r="AJ876" s="81" t="s">
        <v>246</v>
      </c>
      <c r="AK876" s="81">
        <v>1976</v>
      </c>
      <c r="AL876" s="81" t="s">
        <v>247</v>
      </c>
      <c r="AM876" s="81" t="s">
        <v>547</v>
      </c>
    </row>
    <row r="877" spans="1:39" s="82" customFormat="1" x14ac:dyDescent="0.3">
      <c r="A877" s="67">
        <v>0</v>
      </c>
      <c r="B877" s="68">
        <v>36</v>
      </c>
      <c r="C877" s="68"/>
      <c r="D877" s="68">
        <v>1</v>
      </c>
      <c r="E877" s="68">
        <v>20</v>
      </c>
      <c r="F877" s="68">
        <v>0</v>
      </c>
      <c r="G877" s="69"/>
      <c r="H877" s="68"/>
      <c r="I877" s="69"/>
      <c r="J877" s="69"/>
      <c r="K877" s="70">
        <v>1</v>
      </c>
      <c r="L877" s="68">
        <v>6120</v>
      </c>
      <c r="M877" s="71"/>
      <c r="N877" s="72">
        <v>6</v>
      </c>
      <c r="O877" s="84">
        <v>6120</v>
      </c>
      <c r="P877" s="73">
        <f>29/40</f>
        <v>0.72499999999999998</v>
      </c>
      <c r="Q877" s="84">
        <v>0</v>
      </c>
      <c r="R877" s="74">
        <v>5.98</v>
      </c>
      <c r="S877" s="74">
        <v>17.2</v>
      </c>
      <c r="T877" s="75">
        <v>11.1</v>
      </c>
      <c r="U877" s="75"/>
      <c r="V877" s="76"/>
      <c r="W877" s="76"/>
      <c r="X877" s="77">
        <f>L877+42</f>
        <v>6162</v>
      </c>
      <c r="Y877" s="78">
        <v>0.5</v>
      </c>
      <c r="Z877" s="79"/>
      <c r="AA877" s="69"/>
      <c r="AB877" s="68"/>
      <c r="AC877" s="68"/>
      <c r="AD877" s="68"/>
      <c r="AE877" s="80"/>
      <c r="AF877" s="80"/>
      <c r="AG877" s="80"/>
      <c r="AH877" s="80"/>
      <c r="AI877" s="81" t="s">
        <v>248</v>
      </c>
      <c r="AJ877" s="81" t="s">
        <v>246</v>
      </c>
      <c r="AK877" s="81">
        <v>1976</v>
      </c>
      <c r="AL877" s="81" t="s">
        <v>247</v>
      </c>
      <c r="AM877" s="81" t="s">
        <v>307</v>
      </c>
    </row>
    <row r="878" spans="1:39" s="82" customFormat="1" x14ac:dyDescent="0.3">
      <c r="A878" s="67">
        <v>168</v>
      </c>
      <c r="B878" s="68">
        <v>0</v>
      </c>
      <c r="C878" s="68"/>
      <c r="D878" s="68">
        <v>0</v>
      </c>
      <c r="E878" s="68"/>
      <c r="F878" s="68">
        <v>0</v>
      </c>
      <c r="G878" s="69"/>
      <c r="H878" s="68"/>
      <c r="I878" s="69"/>
      <c r="J878" s="69"/>
      <c r="K878" s="70">
        <v>2</v>
      </c>
      <c r="L878" s="68">
        <v>1740</v>
      </c>
      <c r="M878" s="71">
        <v>2</v>
      </c>
      <c r="N878" s="72"/>
      <c r="O878" s="84"/>
      <c r="P878" s="73"/>
      <c r="Q878" s="84">
        <v>0</v>
      </c>
      <c r="R878" s="74"/>
      <c r="S878" s="74"/>
      <c r="T878" s="75"/>
      <c r="U878" s="75"/>
      <c r="V878" s="76"/>
      <c r="W878" s="76"/>
      <c r="X878" s="77"/>
      <c r="Y878" s="78"/>
      <c r="Z878" s="79"/>
      <c r="AA878" s="69"/>
      <c r="AB878" s="68"/>
      <c r="AC878" s="68"/>
      <c r="AD878" s="68"/>
      <c r="AE878" s="80"/>
      <c r="AF878" s="80"/>
      <c r="AG878" s="80"/>
      <c r="AH878" s="80"/>
      <c r="AI878" s="81" t="s">
        <v>260</v>
      </c>
      <c r="AJ878" s="81" t="s">
        <v>246</v>
      </c>
      <c r="AK878" s="81">
        <v>1976</v>
      </c>
      <c r="AL878" s="81" t="s">
        <v>247</v>
      </c>
      <c r="AM878" s="81" t="s">
        <v>546</v>
      </c>
    </row>
    <row r="879" spans="1:39" s="82" customFormat="1" x14ac:dyDescent="0.3">
      <c r="A879" s="67">
        <v>168</v>
      </c>
      <c r="B879" s="68">
        <v>0</v>
      </c>
      <c r="C879" s="68"/>
      <c r="D879" s="68">
        <v>1</v>
      </c>
      <c r="E879" s="68">
        <v>2</v>
      </c>
      <c r="F879" s="68">
        <v>0</v>
      </c>
      <c r="G879" s="69"/>
      <c r="H879" s="68"/>
      <c r="I879" s="69"/>
      <c r="J879" s="69"/>
      <c r="K879" s="70">
        <v>2</v>
      </c>
      <c r="L879" s="68">
        <v>4441</v>
      </c>
      <c r="M879" s="71"/>
      <c r="N879" s="72">
        <v>5</v>
      </c>
      <c r="O879" s="84"/>
      <c r="P879" s="73"/>
      <c r="Q879" s="84">
        <v>0</v>
      </c>
      <c r="R879" s="74"/>
      <c r="S879" s="74"/>
      <c r="T879" s="75"/>
      <c r="U879" s="75"/>
      <c r="V879" s="76"/>
      <c r="W879" s="76"/>
      <c r="X879" s="77"/>
      <c r="Y879" s="78"/>
      <c r="Z879" s="79"/>
      <c r="AA879" s="69"/>
      <c r="AB879" s="68"/>
      <c r="AC879" s="68"/>
      <c r="AD879" s="68"/>
      <c r="AE879" s="80"/>
      <c r="AF879" s="80"/>
      <c r="AG879" s="80"/>
      <c r="AH879" s="80"/>
      <c r="AI879" s="81" t="s">
        <v>260</v>
      </c>
      <c r="AJ879" s="81" t="s">
        <v>246</v>
      </c>
      <c r="AK879" s="81">
        <v>1976</v>
      </c>
      <c r="AL879" s="81" t="s">
        <v>247</v>
      </c>
      <c r="AM879" s="81" t="s">
        <v>546</v>
      </c>
    </row>
    <row r="880" spans="1:39" s="82" customFormat="1" x14ac:dyDescent="0.3">
      <c r="A880" s="67">
        <v>168</v>
      </c>
      <c r="B880" s="68">
        <v>0</v>
      </c>
      <c r="C880" s="68"/>
      <c r="D880" s="68">
        <v>1</v>
      </c>
      <c r="E880" s="68">
        <v>2</v>
      </c>
      <c r="F880" s="68">
        <v>1</v>
      </c>
      <c r="G880" s="69">
        <v>5</v>
      </c>
      <c r="H880" s="68"/>
      <c r="I880" s="69"/>
      <c r="J880" s="69"/>
      <c r="K880" s="70">
        <v>2</v>
      </c>
      <c r="L880" s="68">
        <v>6120</v>
      </c>
      <c r="M880" s="71"/>
      <c r="N880" s="72">
        <v>5</v>
      </c>
      <c r="O880" s="84">
        <v>6120</v>
      </c>
      <c r="P880" s="73">
        <v>0.81</v>
      </c>
      <c r="Q880" s="84">
        <v>0</v>
      </c>
      <c r="R880" s="74">
        <v>6.4</v>
      </c>
      <c r="S880" s="74">
        <v>7.96</v>
      </c>
      <c r="T880" s="75">
        <v>9.51</v>
      </c>
      <c r="U880" s="75">
        <v>5.5</v>
      </c>
      <c r="V880" s="76">
        <v>0.47</v>
      </c>
      <c r="W880" s="76">
        <v>1</v>
      </c>
      <c r="X880" s="77">
        <f>L880+42</f>
        <v>6162</v>
      </c>
      <c r="Y880" s="78">
        <v>0.52</v>
      </c>
      <c r="Z880" s="79"/>
      <c r="AA880" s="69"/>
      <c r="AB880" s="68"/>
      <c r="AC880" s="68"/>
      <c r="AD880" s="68"/>
      <c r="AE880" s="80"/>
      <c r="AF880" s="80"/>
      <c r="AG880" s="80"/>
      <c r="AH880" s="80"/>
      <c r="AI880" s="81" t="s">
        <v>260</v>
      </c>
      <c r="AJ880" s="81" t="s">
        <v>246</v>
      </c>
      <c r="AK880" s="81">
        <v>1976</v>
      </c>
      <c r="AL880" s="81" t="s">
        <v>247</v>
      </c>
      <c r="AM880" s="81" t="s">
        <v>307</v>
      </c>
    </row>
    <row r="881" spans="1:39" s="82" customFormat="1" x14ac:dyDescent="0.3">
      <c r="A881" s="67">
        <v>0</v>
      </c>
      <c r="B881" s="68">
        <v>5</v>
      </c>
      <c r="C881" s="68"/>
      <c r="D881" s="68">
        <v>1</v>
      </c>
      <c r="E881" s="68">
        <v>2</v>
      </c>
      <c r="F881" s="68">
        <v>1</v>
      </c>
      <c r="G881" s="69">
        <v>5</v>
      </c>
      <c r="H881" s="68"/>
      <c r="I881" s="69"/>
      <c r="J881" s="69"/>
      <c r="K881" s="70">
        <v>2</v>
      </c>
      <c r="L881" s="68">
        <v>6120</v>
      </c>
      <c r="M881" s="71"/>
      <c r="N881" s="72">
        <v>5</v>
      </c>
      <c r="O881" s="84">
        <v>6120</v>
      </c>
      <c r="P881" s="73">
        <v>0</v>
      </c>
      <c r="Q881" s="84">
        <v>0</v>
      </c>
      <c r="R881" s="74">
        <v>0</v>
      </c>
      <c r="S881" s="74">
        <v>0.7</v>
      </c>
      <c r="T881" s="75"/>
      <c r="U881" s="75"/>
      <c r="V881" s="76"/>
      <c r="W881" s="76"/>
      <c r="X881" s="77"/>
      <c r="Y881" s="78">
        <v>1</v>
      </c>
      <c r="Z881" s="79"/>
      <c r="AA881" s="69"/>
      <c r="AB881" s="68"/>
      <c r="AC881" s="68"/>
      <c r="AD881" s="68"/>
      <c r="AE881" s="80"/>
      <c r="AF881" s="80"/>
      <c r="AG881" s="80"/>
      <c r="AH881" s="80"/>
      <c r="AI881" s="81" t="s">
        <v>313</v>
      </c>
      <c r="AJ881" s="81" t="s">
        <v>246</v>
      </c>
      <c r="AK881" s="81">
        <v>1976</v>
      </c>
      <c r="AL881" s="81" t="s">
        <v>247</v>
      </c>
      <c r="AM881" s="81" t="s">
        <v>307</v>
      </c>
    </row>
    <row r="882" spans="1:39" s="82" customFormat="1" x14ac:dyDescent="0.3">
      <c r="A882" s="67">
        <v>0</v>
      </c>
      <c r="B882" s="68">
        <v>36</v>
      </c>
      <c r="C882" s="68"/>
      <c r="D882" s="68">
        <v>1</v>
      </c>
      <c r="E882" s="68">
        <v>2</v>
      </c>
      <c r="F882" s="68">
        <v>1</v>
      </c>
      <c r="G882" s="69">
        <v>5</v>
      </c>
      <c r="H882" s="68"/>
      <c r="I882" s="69"/>
      <c r="J882" s="69"/>
      <c r="K882" s="70">
        <v>2</v>
      </c>
      <c r="L882" s="68">
        <v>6120</v>
      </c>
      <c r="M882" s="71"/>
      <c r="N882" s="72">
        <v>5</v>
      </c>
      <c r="O882" s="84">
        <v>6120</v>
      </c>
      <c r="P882" s="73">
        <v>1</v>
      </c>
      <c r="Q882" s="84">
        <v>0</v>
      </c>
      <c r="R882" s="74">
        <v>10</v>
      </c>
      <c r="S882" s="74">
        <v>0.7</v>
      </c>
      <c r="T882" s="75"/>
      <c r="U882" s="75"/>
      <c r="V882" s="76"/>
      <c r="W882" s="76"/>
      <c r="X882" s="77"/>
      <c r="Y882" s="78">
        <v>0.25</v>
      </c>
      <c r="Z882" s="79"/>
      <c r="AA882" s="69"/>
      <c r="AB882" s="68"/>
      <c r="AC882" s="68"/>
      <c r="AD882" s="68"/>
      <c r="AE882" s="80"/>
      <c r="AF882" s="80"/>
      <c r="AG882" s="80"/>
      <c r="AH882" s="80"/>
      <c r="AI882" s="81" t="s">
        <v>317</v>
      </c>
      <c r="AJ882" s="81" t="s">
        <v>246</v>
      </c>
      <c r="AK882" s="81">
        <v>1976</v>
      </c>
      <c r="AL882" s="81" t="s">
        <v>247</v>
      </c>
      <c r="AM882" s="81" t="s">
        <v>307</v>
      </c>
    </row>
    <row r="883" spans="1:39" s="82" customFormat="1" x14ac:dyDescent="0.3">
      <c r="A883" s="67">
        <v>0</v>
      </c>
      <c r="B883" s="68">
        <v>5</v>
      </c>
      <c r="C883" s="68"/>
      <c r="D883" s="68">
        <v>1</v>
      </c>
      <c r="E883" s="68">
        <v>2</v>
      </c>
      <c r="F883" s="68">
        <v>1</v>
      </c>
      <c r="G883" s="69">
        <v>5</v>
      </c>
      <c r="H883" s="68"/>
      <c r="I883" s="69"/>
      <c r="J883" s="69"/>
      <c r="K883" s="70">
        <v>2</v>
      </c>
      <c r="L883" s="68">
        <v>6120</v>
      </c>
      <c r="M883" s="71"/>
      <c r="N883" s="72">
        <v>5</v>
      </c>
      <c r="O883" s="84">
        <v>6120</v>
      </c>
      <c r="P883" s="73">
        <v>1</v>
      </c>
      <c r="Q883" s="84">
        <v>0</v>
      </c>
      <c r="R883" s="74">
        <v>12</v>
      </c>
      <c r="S883" s="74">
        <v>0.7</v>
      </c>
      <c r="T883" s="75"/>
      <c r="U883" s="75"/>
      <c r="V883" s="76"/>
      <c r="W883" s="76"/>
      <c r="X883" s="77"/>
      <c r="Y883" s="78">
        <v>0</v>
      </c>
      <c r="Z883" s="79"/>
      <c r="AA883" s="69"/>
      <c r="AB883" s="68"/>
      <c r="AC883" s="68"/>
      <c r="AD883" s="68"/>
      <c r="AE883" s="80"/>
      <c r="AF883" s="80"/>
      <c r="AG883" s="80"/>
      <c r="AH883" s="80"/>
      <c r="AI883" s="81" t="s">
        <v>318</v>
      </c>
      <c r="AJ883" s="81" t="s">
        <v>246</v>
      </c>
      <c r="AK883" s="81">
        <v>1976</v>
      </c>
      <c r="AL883" s="81" t="s">
        <v>247</v>
      </c>
      <c r="AM883" s="81" t="s">
        <v>307</v>
      </c>
    </row>
    <row r="884" spans="1:39" s="82" customFormat="1" x14ac:dyDescent="0.3">
      <c r="A884" s="67">
        <v>0</v>
      </c>
      <c r="B884" s="68">
        <v>9</v>
      </c>
      <c r="C884" s="68"/>
      <c r="D884" s="68">
        <v>1</v>
      </c>
      <c r="E884" s="68">
        <v>2</v>
      </c>
      <c r="F884" s="68">
        <v>1</v>
      </c>
      <c r="G884" s="69">
        <v>5</v>
      </c>
      <c r="H884" s="68"/>
      <c r="I884" s="69"/>
      <c r="J884" s="69"/>
      <c r="K884" s="70">
        <v>2</v>
      </c>
      <c r="L884" s="68">
        <v>6120</v>
      </c>
      <c r="M884" s="71"/>
      <c r="N884" s="72">
        <v>5</v>
      </c>
      <c r="O884" s="84">
        <v>6120</v>
      </c>
      <c r="P884" s="73">
        <v>0</v>
      </c>
      <c r="Q884" s="84">
        <v>0</v>
      </c>
      <c r="R884" s="74">
        <v>2</v>
      </c>
      <c r="S884" s="74">
        <v>0.7</v>
      </c>
      <c r="T884" s="75"/>
      <c r="U884" s="75"/>
      <c r="V884" s="76"/>
      <c r="W884" s="76"/>
      <c r="X884" s="77"/>
      <c r="Y884" s="78">
        <v>0.89</v>
      </c>
      <c r="Z884" s="79"/>
      <c r="AA884" s="69"/>
      <c r="AB884" s="68"/>
      <c r="AC884" s="68"/>
      <c r="AD884" s="68"/>
      <c r="AE884" s="80"/>
      <c r="AF884" s="80"/>
      <c r="AG884" s="80"/>
      <c r="AH884" s="80"/>
      <c r="AI884" s="81" t="s">
        <v>314</v>
      </c>
      <c r="AJ884" s="81" t="s">
        <v>246</v>
      </c>
      <c r="AK884" s="81">
        <v>1976</v>
      </c>
      <c r="AL884" s="81" t="s">
        <v>247</v>
      </c>
      <c r="AM884" s="81" t="s">
        <v>307</v>
      </c>
    </row>
    <row r="885" spans="1:39" s="82" customFormat="1" x14ac:dyDescent="0.3">
      <c r="A885" s="67">
        <v>0</v>
      </c>
      <c r="B885" s="68">
        <v>0</v>
      </c>
      <c r="C885" s="68"/>
      <c r="D885" s="68">
        <v>1</v>
      </c>
      <c r="E885" s="68">
        <v>2</v>
      </c>
      <c r="F885" s="68">
        <v>1</v>
      </c>
      <c r="G885" s="69">
        <v>5</v>
      </c>
      <c r="H885" s="68"/>
      <c r="I885" s="69"/>
      <c r="J885" s="69"/>
      <c r="K885" s="70">
        <v>2</v>
      </c>
      <c r="L885" s="68">
        <v>6120</v>
      </c>
      <c r="M885" s="71"/>
      <c r="N885" s="72">
        <v>5</v>
      </c>
      <c r="O885" s="84"/>
      <c r="P885" s="73"/>
      <c r="Q885" s="84">
        <v>0</v>
      </c>
      <c r="R885" s="74"/>
      <c r="S885" s="74"/>
      <c r="T885" s="75"/>
      <c r="U885" s="75"/>
      <c r="V885" s="76"/>
      <c r="W885" s="76"/>
      <c r="X885" s="77"/>
      <c r="Y885" s="78"/>
      <c r="Z885" s="79"/>
      <c r="AA885" s="69"/>
      <c r="AB885" s="68"/>
      <c r="AC885" s="68"/>
      <c r="AD885" s="68"/>
      <c r="AE885" s="80"/>
      <c r="AF885" s="80"/>
      <c r="AG885" s="80"/>
      <c r="AH885" s="80"/>
      <c r="AI885" s="81" t="s">
        <v>319</v>
      </c>
      <c r="AJ885" s="81" t="s">
        <v>246</v>
      </c>
      <c r="AK885" s="81">
        <v>1976</v>
      </c>
      <c r="AL885" s="81" t="s">
        <v>247</v>
      </c>
      <c r="AM885" s="81" t="s">
        <v>322</v>
      </c>
    </row>
    <row r="886" spans="1:39" s="82" customFormat="1" x14ac:dyDescent="0.3">
      <c r="A886" s="67">
        <v>0</v>
      </c>
      <c r="B886" s="68">
        <v>51</v>
      </c>
      <c r="C886" s="68"/>
      <c r="D886" s="68">
        <v>1</v>
      </c>
      <c r="E886" s="68">
        <v>2</v>
      </c>
      <c r="F886" s="68">
        <v>1</v>
      </c>
      <c r="G886" s="69">
        <v>5</v>
      </c>
      <c r="H886" s="68"/>
      <c r="I886" s="69"/>
      <c r="J886" s="69"/>
      <c r="K886" s="70">
        <v>2</v>
      </c>
      <c r="L886" s="68">
        <v>6120</v>
      </c>
      <c r="M886" s="71"/>
      <c r="N886" s="72">
        <v>5</v>
      </c>
      <c r="O886" s="84">
        <v>6120</v>
      </c>
      <c r="P886" s="73">
        <v>1</v>
      </c>
      <c r="Q886" s="84">
        <v>0</v>
      </c>
      <c r="R886" s="74">
        <v>4</v>
      </c>
      <c r="S886" s="74">
        <v>0.7</v>
      </c>
      <c r="T886" s="75"/>
      <c r="U886" s="75"/>
      <c r="V886" s="76"/>
      <c r="W886" s="76"/>
      <c r="X886" s="77"/>
      <c r="Y886" s="78">
        <v>0.61</v>
      </c>
      <c r="Z886" s="79"/>
      <c r="AA886" s="69"/>
      <c r="AB886" s="68"/>
      <c r="AC886" s="68"/>
      <c r="AD886" s="68"/>
      <c r="AE886" s="80"/>
      <c r="AF886" s="80"/>
      <c r="AG886" s="80"/>
      <c r="AH886" s="80"/>
      <c r="AI886" s="81" t="s">
        <v>315</v>
      </c>
      <c r="AJ886" s="81" t="s">
        <v>246</v>
      </c>
      <c r="AK886" s="81">
        <v>1976</v>
      </c>
      <c r="AL886" s="81" t="s">
        <v>247</v>
      </c>
      <c r="AM886" s="81" t="s">
        <v>307</v>
      </c>
    </row>
    <row r="887" spans="1:39" s="82" customFormat="1" x14ac:dyDescent="0.3">
      <c r="A887" s="67">
        <v>0</v>
      </c>
      <c r="B887" s="68">
        <v>0</v>
      </c>
      <c r="C887" s="68"/>
      <c r="D887" s="68">
        <v>1</v>
      </c>
      <c r="E887" s="68">
        <v>2</v>
      </c>
      <c r="F887" s="68">
        <v>1</v>
      </c>
      <c r="G887" s="69">
        <v>5</v>
      </c>
      <c r="H887" s="68"/>
      <c r="I887" s="69"/>
      <c r="J887" s="69"/>
      <c r="K887" s="70">
        <v>2</v>
      </c>
      <c r="L887" s="68">
        <v>6120</v>
      </c>
      <c r="M887" s="71"/>
      <c r="N887" s="72">
        <v>5</v>
      </c>
      <c r="O887" s="84"/>
      <c r="P887" s="73"/>
      <c r="Q887" s="84">
        <v>0</v>
      </c>
      <c r="R887" s="74"/>
      <c r="S887" s="74"/>
      <c r="T887" s="75"/>
      <c r="U887" s="75"/>
      <c r="V887" s="76"/>
      <c r="W887" s="76"/>
      <c r="X887" s="77"/>
      <c r="Y887" s="78"/>
      <c r="Z887" s="79"/>
      <c r="AA887" s="69"/>
      <c r="AB887" s="68"/>
      <c r="AC887" s="68"/>
      <c r="AD887" s="68"/>
      <c r="AE887" s="80"/>
      <c r="AF887" s="80"/>
      <c r="AG887" s="80"/>
      <c r="AH887" s="80"/>
      <c r="AI887" s="81" t="s">
        <v>320</v>
      </c>
      <c r="AJ887" s="81" t="s">
        <v>246</v>
      </c>
      <c r="AK887" s="81">
        <v>1976</v>
      </c>
      <c r="AL887" s="81" t="s">
        <v>247</v>
      </c>
      <c r="AM887" s="81" t="s">
        <v>322</v>
      </c>
    </row>
    <row r="888" spans="1:39" s="82" customFormat="1" x14ac:dyDescent="0.3">
      <c r="A888" s="67">
        <v>0</v>
      </c>
      <c r="B888" s="68">
        <v>59</v>
      </c>
      <c r="C888" s="68"/>
      <c r="D888" s="68">
        <v>1</v>
      </c>
      <c r="E888" s="68">
        <v>2</v>
      </c>
      <c r="F888" s="68">
        <v>1</v>
      </c>
      <c r="G888" s="69">
        <v>5</v>
      </c>
      <c r="H888" s="68"/>
      <c r="I888" s="69"/>
      <c r="J888" s="69"/>
      <c r="K888" s="70">
        <v>2</v>
      </c>
      <c r="L888" s="68">
        <v>6120</v>
      </c>
      <c r="M888" s="71"/>
      <c r="N888" s="72">
        <v>5</v>
      </c>
      <c r="O888" s="84">
        <v>6120</v>
      </c>
      <c r="P888" s="73">
        <v>1</v>
      </c>
      <c r="Q888" s="84">
        <v>0</v>
      </c>
      <c r="R888" s="74">
        <v>7</v>
      </c>
      <c r="S888" s="74">
        <v>1</v>
      </c>
      <c r="T888" s="75"/>
      <c r="U888" s="75"/>
      <c r="V888" s="76"/>
      <c r="W888" s="76"/>
      <c r="X888" s="77"/>
      <c r="Y888" s="78">
        <v>0.47</v>
      </c>
      <c r="Z888" s="79"/>
      <c r="AA888" s="69"/>
      <c r="AB888" s="68"/>
      <c r="AC888" s="68"/>
      <c r="AD888" s="68"/>
      <c r="AE888" s="80"/>
      <c r="AF888" s="80"/>
      <c r="AG888" s="80"/>
      <c r="AH888" s="80"/>
      <c r="AI888" s="81" t="s">
        <v>316</v>
      </c>
      <c r="AJ888" s="81" t="s">
        <v>246</v>
      </c>
      <c r="AK888" s="81">
        <v>1976</v>
      </c>
      <c r="AL888" s="81" t="s">
        <v>247</v>
      </c>
      <c r="AM888" s="81" t="s">
        <v>307</v>
      </c>
    </row>
    <row r="889" spans="1:39" s="82" customFormat="1" x14ac:dyDescent="0.3">
      <c r="A889" s="67">
        <v>0</v>
      </c>
      <c r="B889" s="68">
        <v>0</v>
      </c>
      <c r="C889" s="68"/>
      <c r="D889" s="68">
        <v>1</v>
      </c>
      <c r="E889" s="68">
        <v>2</v>
      </c>
      <c r="F889" s="68">
        <v>1</v>
      </c>
      <c r="G889" s="69">
        <v>5</v>
      </c>
      <c r="H889" s="68"/>
      <c r="I889" s="69"/>
      <c r="J889" s="69"/>
      <c r="K889" s="70">
        <v>2</v>
      </c>
      <c r="L889" s="68">
        <v>6120</v>
      </c>
      <c r="M889" s="71"/>
      <c r="N889" s="72">
        <v>5</v>
      </c>
      <c r="O889" s="84"/>
      <c r="P889" s="73"/>
      <c r="Q889" s="84">
        <v>0</v>
      </c>
      <c r="R889" s="74"/>
      <c r="S889" s="74"/>
      <c r="T889" s="75"/>
      <c r="U889" s="75"/>
      <c r="V889" s="76"/>
      <c r="W889" s="76"/>
      <c r="X889" s="77"/>
      <c r="Y889" s="78"/>
      <c r="Z889" s="79"/>
      <c r="AA889" s="69"/>
      <c r="AB889" s="68"/>
      <c r="AC889" s="68"/>
      <c r="AD889" s="68"/>
      <c r="AE889" s="80"/>
      <c r="AF889" s="80"/>
      <c r="AG889" s="80"/>
      <c r="AH889" s="80"/>
      <c r="AI889" s="81" t="s">
        <v>321</v>
      </c>
      <c r="AJ889" s="81" t="s">
        <v>246</v>
      </c>
      <c r="AK889" s="81">
        <v>1976</v>
      </c>
      <c r="AL889" s="81" t="s">
        <v>247</v>
      </c>
      <c r="AM889" s="81" t="s">
        <v>322</v>
      </c>
    </row>
    <row r="890" spans="1:39" s="82" customFormat="1" x14ac:dyDescent="0.3">
      <c r="A890" s="67">
        <v>0</v>
      </c>
      <c r="B890" s="68">
        <v>0</v>
      </c>
      <c r="C890" s="68"/>
      <c r="D890" s="68">
        <v>0</v>
      </c>
      <c r="E890" s="68"/>
      <c r="F890" s="68">
        <v>0</v>
      </c>
      <c r="G890" s="69"/>
      <c r="H890" s="68"/>
      <c r="I890" s="69"/>
      <c r="J890" s="69"/>
      <c r="K890" s="70">
        <v>2</v>
      </c>
      <c r="L890" s="68">
        <v>1740</v>
      </c>
      <c r="M890" s="71">
        <v>2</v>
      </c>
      <c r="N890" s="72"/>
      <c r="O890" s="84"/>
      <c r="P890" s="73"/>
      <c r="Q890" s="84">
        <v>0</v>
      </c>
      <c r="R890" s="74"/>
      <c r="S890" s="74"/>
      <c r="T890" s="75"/>
      <c r="U890" s="75"/>
      <c r="V890" s="76"/>
      <c r="W890" s="76"/>
      <c r="X890" s="77"/>
      <c r="Y890" s="78"/>
      <c r="Z890" s="79"/>
      <c r="AA890" s="69"/>
      <c r="AB890" s="68"/>
      <c r="AC890" s="68"/>
      <c r="AD890" s="68"/>
      <c r="AE890" s="80"/>
      <c r="AF890" s="80"/>
      <c r="AG890" s="80"/>
      <c r="AH890" s="80"/>
      <c r="AI890" s="81" t="s">
        <v>249</v>
      </c>
      <c r="AJ890" s="81" t="s">
        <v>246</v>
      </c>
      <c r="AK890" s="81">
        <v>1976</v>
      </c>
      <c r="AL890" s="81" t="s">
        <v>247</v>
      </c>
      <c r="AM890" s="81" t="s">
        <v>546</v>
      </c>
    </row>
    <row r="891" spans="1:39" s="82" customFormat="1" x14ac:dyDescent="0.3">
      <c r="A891" s="67">
        <v>0</v>
      </c>
      <c r="B891" s="68">
        <v>0</v>
      </c>
      <c r="C891" s="68"/>
      <c r="D891" s="68">
        <v>1</v>
      </c>
      <c r="E891" s="68">
        <v>2</v>
      </c>
      <c r="F891" s="68">
        <v>0</v>
      </c>
      <c r="G891" s="69"/>
      <c r="H891" s="68"/>
      <c r="I891" s="69"/>
      <c r="J891" s="69"/>
      <c r="K891" s="70">
        <v>2</v>
      </c>
      <c r="L891" s="68">
        <v>4441</v>
      </c>
      <c r="M891" s="71"/>
      <c r="N891" s="72">
        <v>5</v>
      </c>
      <c r="O891" s="84"/>
      <c r="P891" s="73"/>
      <c r="Q891" s="84">
        <v>0</v>
      </c>
      <c r="R891" s="74"/>
      <c r="S891" s="74"/>
      <c r="T891" s="75"/>
      <c r="U891" s="75"/>
      <c r="V891" s="76"/>
      <c r="W891" s="76"/>
      <c r="X891" s="77"/>
      <c r="Y891" s="78"/>
      <c r="Z891" s="79"/>
      <c r="AA891" s="69"/>
      <c r="AB891" s="68"/>
      <c r="AC891" s="68"/>
      <c r="AD891" s="68"/>
      <c r="AE891" s="80"/>
      <c r="AF891" s="80"/>
      <c r="AG891" s="80"/>
      <c r="AH891" s="80"/>
      <c r="AI891" s="81" t="s">
        <v>249</v>
      </c>
      <c r="AJ891" s="81" t="s">
        <v>246</v>
      </c>
      <c r="AK891" s="81">
        <v>1976</v>
      </c>
      <c r="AL891" s="81" t="s">
        <v>247</v>
      </c>
      <c r="AM891" s="81" t="s">
        <v>546</v>
      </c>
    </row>
    <row r="892" spans="1:39" s="82" customFormat="1" x14ac:dyDescent="0.3">
      <c r="A892" s="67">
        <v>0</v>
      </c>
      <c r="B892" s="68">
        <v>45</v>
      </c>
      <c r="C892" s="68"/>
      <c r="D892" s="68">
        <v>1</v>
      </c>
      <c r="E892" s="68">
        <v>2</v>
      </c>
      <c r="F892" s="68">
        <v>1</v>
      </c>
      <c r="G892" s="69">
        <v>5</v>
      </c>
      <c r="H892" s="68"/>
      <c r="I892" s="69"/>
      <c r="J892" s="69"/>
      <c r="K892" s="70">
        <v>2</v>
      </c>
      <c r="L892" s="68">
        <v>6120</v>
      </c>
      <c r="M892" s="71"/>
      <c r="N892" s="72">
        <v>5</v>
      </c>
      <c r="O892" s="84">
        <v>6120</v>
      </c>
      <c r="P892" s="73">
        <f>52/53</f>
        <v>0.98113207547169812</v>
      </c>
      <c r="Q892" s="84">
        <v>0</v>
      </c>
      <c r="R892" s="74">
        <v>7.55</v>
      </c>
      <c r="S892" s="74">
        <v>6.89</v>
      </c>
      <c r="T892" s="75">
        <v>10.1</v>
      </c>
      <c r="U892" s="75"/>
      <c r="V892" s="76"/>
      <c r="W892" s="76"/>
      <c r="X892" s="77">
        <f>L892+42</f>
        <v>6162</v>
      </c>
      <c r="Y892" s="78">
        <v>0.24</v>
      </c>
      <c r="Z892" s="79"/>
      <c r="AA892" s="69"/>
      <c r="AB892" s="68"/>
      <c r="AC892" s="68"/>
      <c r="AD892" s="68"/>
      <c r="AE892" s="80"/>
      <c r="AF892" s="80"/>
      <c r="AG892" s="80"/>
      <c r="AH892" s="80"/>
      <c r="AI892" s="81" t="s">
        <v>249</v>
      </c>
      <c r="AJ892" s="81" t="s">
        <v>246</v>
      </c>
      <c r="AK892" s="81">
        <v>1976</v>
      </c>
      <c r="AL892" s="81" t="s">
        <v>247</v>
      </c>
      <c r="AM892" s="81" t="s">
        <v>307</v>
      </c>
    </row>
    <row r="893" spans="1:39" s="82" customFormat="1" x14ac:dyDescent="0.3">
      <c r="A893" s="67">
        <v>0</v>
      </c>
      <c r="B893" s="68">
        <v>0</v>
      </c>
      <c r="C893" s="68"/>
      <c r="D893" s="68">
        <v>0</v>
      </c>
      <c r="E893" s="68"/>
      <c r="F893" s="68">
        <v>0</v>
      </c>
      <c r="G893" s="69"/>
      <c r="H893" s="68"/>
      <c r="I893" s="69"/>
      <c r="J893" s="69"/>
      <c r="K893" s="70">
        <v>2</v>
      </c>
      <c r="L893" s="68">
        <v>1740</v>
      </c>
      <c r="M893" s="71">
        <v>2</v>
      </c>
      <c r="N893" s="72"/>
      <c r="O893" s="84"/>
      <c r="P893" s="73"/>
      <c r="Q893" s="84">
        <v>0</v>
      </c>
      <c r="R893" s="74"/>
      <c r="S893" s="74"/>
      <c r="T893" s="75"/>
      <c r="U893" s="75"/>
      <c r="V893" s="76"/>
      <c r="W893" s="76"/>
      <c r="X893" s="77"/>
      <c r="Y893" s="78"/>
      <c r="Z893" s="79"/>
      <c r="AA893" s="69"/>
      <c r="AB893" s="68"/>
      <c r="AC893" s="68"/>
      <c r="AD893" s="68"/>
      <c r="AE893" s="80"/>
      <c r="AF893" s="80"/>
      <c r="AG893" s="80"/>
      <c r="AH893" s="80"/>
      <c r="AI893" s="81" t="s">
        <v>248</v>
      </c>
      <c r="AJ893" s="81" t="s">
        <v>246</v>
      </c>
      <c r="AK893" s="81">
        <v>1976</v>
      </c>
      <c r="AL893" s="81" t="s">
        <v>247</v>
      </c>
      <c r="AM893" s="81" t="s">
        <v>547</v>
      </c>
    </row>
    <row r="894" spans="1:39" s="82" customFormat="1" x14ac:dyDescent="0.3">
      <c r="A894" s="67">
        <v>0</v>
      </c>
      <c r="B894" s="68">
        <v>36</v>
      </c>
      <c r="C894" s="68"/>
      <c r="D894" s="68">
        <v>1</v>
      </c>
      <c r="E894" s="68">
        <v>2</v>
      </c>
      <c r="F894" s="68">
        <v>0</v>
      </c>
      <c r="G894" s="69"/>
      <c r="H894" s="68"/>
      <c r="I894" s="69"/>
      <c r="J894" s="69"/>
      <c r="K894" s="70">
        <v>2</v>
      </c>
      <c r="L894" s="68">
        <v>6120</v>
      </c>
      <c r="M894" s="71"/>
      <c r="N894" s="72">
        <v>5</v>
      </c>
      <c r="O894" s="84">
        <v>6120</v>
      </c>
      <c r="P894" s="73">
        <f>36/40</f>
        <v>0.9</v>
      </c>
      <c r="Q894" s="84">
        <v>0</v>
      </c>
      <c r="R894" s="74">
        <v>5.85</v>
      </c>
      <c r="S894" s="74">
        <v>5.83</v>
      </c>
      <c r="T894" s="75">
        <v>11.1</v>
      </c>
      <c r="U894" s="75"/>
      <c r="V894" s="76"/>
      <c r="W894" s="76"/>
      <c r="X894" s="77">
        <f>L894+42</f>
        <v>6162</v>
      </c>
      <c r="Y894" s="78">
        <v>0.69</v>
      </c>
      <c r="Z894" s="79"/>
      <c r="AA894" s="69"/>
      <c r="AB894" s="68"/>
      <c r="AC894" s="68"/>
      <c r="AD894" s="68"/>
      <c r="AE894" s="80"/>
      <c r="AF894" s="80"/>
      <c r="AG894" s="80"/>
      <c r="AH894" s="80"/>
      <c r="AI894" s="81" t="s">
        <v>248</v>
      </c>
      <c r="AJ894" s="81" t="s">
        <v>246</v>
      </c>
      <c r="AK894" s="81">
        <v>1976</v>
      </c>
      <c r="AL894" s="81" t="s">
        <v>247</v>
      </c>
      <c r="AM894" s="81" t="s">
        <v>307</v>
      </c>
    </row>
    <row r="895" spans="1:39" s="82" customFormat="1" x14ac:dyDescent="0.3">
      <c r="A895" s="67">
        <v>168</v>
      </c>
      <c r="B895" s="68">
        <v>0</v>
      </c>
      <c r="C895" s="68"/>
      <c r="D895" s="68">
        <v>0</v>
      </c>
      <c r="E895" s="68"/>
      <c r="F895" s="68">
        <v>0</v>
      </c>
      <c r="G895" s="69"/>
      <c r="H895" s="68"/>
      <c r="I895" s="69"/>
      <c r="J895" s="69"/>
      <c r="K895" s="70">
        <v>3</v>
      </c>
      <c r="L895" s="68">
        <v>1740</v>
      </c>
      <c r="M895" s="71">
        <v>4</v>
      </c>
      <c r="N895" s="72"/>
      <c r="O895" s="84"/>
      <c r="P895" s="73"/>
      <c r="Q895" s="84">
        <v>0</v>
      </c>
      <c r="R895" s="74"/>
      <c r="S895" s="74"/>
      <c r="T895" s="75"/>
      <c r="U895" s="75"/>
      <c r="V895" s="76"/>
      <c r="W895" s="76"/>
      <c r="X895" s="77"/>
      <c r="Y895" s="78"/>
      <c r="Z895" s="79"/>
      <c r="AA895" s="69"/>
      <c r="AB895" s="68"/>
      <c r="AC895" s="68"/>
      <c r="AD895" s="68"/>
      <c r="AE895" s="80"/>
      <c r="AF895" s="80"/>
      <c r="AG895" s="80"/>
      <c r="AH895" s="80"/>
      <c r="AI895" s="81" t="s">
        <v>260</v>
      </c>
      <c r="AJ895" s="81" t="s">
        <v>246</v>
      </c>
      <c r="AK895" s="81">
        <v>1976</v>
      </c>
      <c r="AL895" s="81" t="s">
        <v>247</v>
      </c>
      <c r="AM895" s="81" t="s">
        <v>546</v>
      </c>
    </row>
    <row r="896" spans="1:39" s="82" customFormat="1" x14ac:dyDescent="0.3">
      <c r="A896" s="67">
        <v>168</v>
      </c>
      <c r="B896" s="68">
        <v>0</v>
      </c>
      <c r="C896" s="68"/>
      <c r="D896" s="68">
        <v>1</v>
      </c>
      <c r="E896" s="68">
        <v>4</v>
      </c>
      <c r="F896" s="68">
        <v>0</v>
      </c>
      <c r="G896" s="69"/>
      <c r="H896" s="68"/>
      <c r="I896" s="69"/>
      <c r="J896" s="69"/>
      <c r="K896" s="70">
        <v>3</v>
      </c>
      <c r="L896" s="68">
        <v>4441</v>
      </c>
      <c r="M896" s="71"/>
      <c r="N896" s="72">
        <v>5.5</v>
      </c>
      <c r="O896" s="84"/>
      <c r="P896" s="73"/>
      <c r="Q896" s="84">
        <v>0</v>
      </c>
      <c r="R896" s="74"/>
      <c r="S896" s="74"/>
      <c r="T896" s="75"/>
      <c r="U896" s="75"/>
      <c r="V896" s="76"/>
      <c r="W896" s="76"/>
      <c r="X896" s="77"/>
      <c r="Y896" s="78"/>
      <c r="Z896" s="79"/>
      <c r="AA896" s="69"/>
      <c r="AB896" s="68"/>
      <c r="AC896" s="68"/>
      <c r="AD896" s="68"/>
      <c r="AE896" s="80"/>
      <c r="AF896" s="80"/>
      <c r="AG896" s="80"/>
      <c r="AH896" s="80"/>
      <c r="AI896" s="81" t="s">
        <v>260</v>
      </c>
      <c r="AJ896" s="81" t="s">
        <v>246</v>
      </c>
      <c r="AK896" s="81">
        <v>1976</v>
      </c>
      <c r="AL896" s="81" t="s">
        <v>247</v>
      </c>
      <c r="AM896" s="81" t="s">
        <v>546</v>
      </c>
    </row>
    <row r="897" spans="1:39" s="82" customFormat="1" x14ac:dyDescent="0.3">
      <c r="A897" s="67">
        <v>168</v>
      </c>
      <c r="B897" s="68">
        <v>0</v>
      </c>
      <c r="C897" s="68"/>
      <c r="D897" s="68">
        <v>1</v>
      </c>
      <c r="E897" s="68">
        <v>4</v>
      </c>
      <c r="F897" s="68">
        <v>1</v>
      </c>
      <c r="G897" s="69">
        <v>5.5</v>
      </c>
      <c r="H897" s="68"/>
      <c r="I897" s="69"/>
      <c r="J897" s="69"/>
      <c r="K897" s="70">
        <v>3</v>
      </c>
      <c r="L897" s="68">
        <v>6120</v>
      </c>
      <c r="M897" s="71"/>
      <c r="N897" s="72">
        <v>5.5</v>
      </c>
      <c r="O897" s="84">
        <v>6120</v>
      </c>
      <c r="P897" s="73">
        <v>0.73199999999999998</v>
      </c>
      <c r="Q897" s="84">
        <v>0</v>
      </c>
      <c r="R897" s="74">
        <v>6.04</v>
      </c>
      <c r="S897" s="74">
        <v>7.36</v>
      </c>
      <c r="T897" s="75">
        <v>8.3800000000000008</v>
      </c>
      <c r="U897" s="75">
        <v>8.09</v>
      </c>
      <c r="V897" s="76">
        <v>0.33300000000000002</v>
      </c>
      <c r="W897" s="76">
        <v>0.91700000000000004</v>
      </c>
      <c r="X897" s="77">
        <f>L897+42</f>
        <v>6162</v>
      </c>
      <c r="Y897" s="78">
        <v>0.42</v>
      </c>
      <c r="Z897" s="79"/>
      <c r="AA897" s="69"/>
      <c r="AB897" s="68"/>
      <c r="AC897" s="68"/>
      <c r="AD897" s="68"/>
      <c r="AE897" s="80"/>
      <c r="AF897" s="80"/>
      <c r="AG897" s="80"/>
      <c r="AH897" s="80"/>
      <c r="AI897" s="81" t="s">
        <v>260</v>
      </c>
      <c r="AJ897" s="81" t="s">
        <v>246</v>
      </c>
      <c r="AK897" s="81">
        <v>1976</v>
      </c>
      <c r="AL897" s="81" t="s">
        <v>247</v>
      </c>
      <c r="AM897" s="81" t="s">
        <v>307</v>
      </c>
    </row>
    <row r="898" spans="1:39" s="82" customFormat="1" x14ac:dyDescent="0.3">
      <c r="A898" s="67">
        <v>0</v>
      </c>
      <c r="B898" s="68">
        <v>12</v>
      </c>
      <c r="C898" s="68"/>
      <c r="D898" s="68">
        <v>1</v>
      </c>
      <c r="E898" s="68">
        <v>4</v>
      </c>
      <c r="F898" s="68">
        <v>1</v>
      </c>
      <c r="G898" s="69">
        <v>5.5</v>
      </c>
      <c r="H898" s="68"/>
      <c r="I898" s="69"/>
      <c r="J898" s="69"/>
      <c r="K898" s="70">
        <v>3</v>
      </c>
      <c r="L898" s="68">
        <v>6120</v>
      </c>
      <c r="M898" s="71"/>
      <c r="N898" s="72">
        <v>5.5</v>
      </c>
      <c r="O898" s="84">
        <v>6120</v>
      </c>
      <c r="P898" s="73">
        <v>0</v>
      </c>
      <c r="Q898" s="84">
        <v>0</v>
      </c>
      <c r="R898" s="74">
        <v>0</v>
      </c>
      <c r="S898" s="74">
        <v>0.7</v>
      </c>
      <c r="T898" s="75"/>
      <c r="U898" s="75"/>
      <c r="V898" s="76"/>
      <c r="W898" s="76"/>
      <c r="X898" s="77"/>
      <c r="Y898" s="78">
        <v>0.75</v>
      </c>
      <c r="Z898" s="79"/>
      <c r="AA898" s="69"/>
      <c r="AB898" s="68"/>
      <c r="AC898" s="68"/>
      <c r="AD898" s="68"/>
      <c r="AE898" s="80"/>
      <c r="AF898" s="80"/>
      <c r="AG898" s="80"/>
      <c r="AH898" s="80"/>
      <c r="AI898" s="81" t="s">
        <v>313</v>
      </c>
      <c r="AJ898" s="81" t="s">
        <v>246</v>
      </c>
      <c r="AK898" s="81">
        <v>1976</v>
      </c>
      <c r="AL898" s="81" t="s">
        <v>247</v>
      </c>
      <c r="AM898" s="81" t="s">
        <v>307</v>
      </c>
    </row>
    <row r="899" spans="1:39" s="82" customFormat="1" x14ac:dyDescent="0.3">
      <c r="A899" s="67">
        <v>0</v>
      </c>
      <c r="B899" s="68">
        <v>0</v>
      </c>
      <c r="C899" s="68"/>
      <c r="D899" s="68">
        <v>1</v>
      </c>
      <c r="E899" s="68">
        <v>4</v>
      </c>
      <c r="F899" s="68">
        <v>1</v>
      </c>
      <c r="G899" s="69">
        <v>5.5</v>
      </c>
      <c r="H899" s="68"/>
      <c r="I899" s="69"/>
      <c r="J899" s="69"/>
      <c r="K899" s="70">
        <v>3</v>
      </c>
      <c r="L899" s="68">
        <v>6120</v>
      </c>
      <c r="M899" s="71"/>
      <c r="N899" s="72">
        <v>5.5</v>
      </c>
      <c r="O899" s="84"/>
      <c r="P899" s="73"/>
      <c r="Q899" s="84">
        <v>0</v>
      </c>
      <c r="R899" s="74"/>
      <c r="S899" s="74"/>
      <c r="T899" s="75"/>
      <c r="U899" s="75"/>
      <c r="V899" s="76"/>
      <c r="W899" s="76"/>
      <c r="X899" s="77"/>
      <c r="Y899" s="78"/>
      <c r="Z899" s="79"/>
      <c r="AA899" s="69"/>
      <c r="AB899" s="68"/>
      <c r="AC899" s="68"/>
      <c r="AD899" s="68"/>
      <c r="AE899" s="80"/>
      <c r="AF899" s="80"/>
      <c r="AG899" s="80"/>
      <c r="AH899" s="80"/>
      <c r="AI899" s="81" t="s">
        <v>317</v>
      </c>
      <c r="AJ899" s="81" t="s">
        <v>246</v>
      </c>
      <c r="AK899" s="81">
        <v>1976</v>
      </c>
      <c r="AL899" s="81" t="s">
        <v>247</v>
      </c>
      <c r="AM899" s="81" t="s">
        <v>322</v>
      </c>
    </row>
    <row r="900" spans="1:39" s="82" customFormat="1" x14ac:dyDescent="0.3">
      <c r="A900" s="67">
        <v>0</v>
      </c>
      <c r="B900" s="68">
        <v>6</v>
      </c>
      <c r="C900" s="68"/>
      <c r="D900" s="68">
        <v>1</v>
      </c>
      <c r="E900" s="68">
        <v>4</v>
      </c>
      <c r="F900" s="68">
        <v>1</v>
      </c>
      <c r="G900" s="69">
        <v>5.5</v>
      </c>
      <c r="H900" s="68"/>
      <c r="I900" s="69"/>
      <c r="J900" s="69"/>
      <c r="K900" s="70">
        <v>3</v>
      </c>
      <c r="L900" s="68">
        <v>6120</v>
      </c>
      <c r="M900" s="71"/>
      <c r="N900" s="72">
        <v>5.5</v>
      </c>
      <c r="O900" s="84">
        <v>6120</v>
      </c>
      <c r="P900" s="73">
        <v>1</v>
      </c>
      <c r="Q900" s="84">
        <v>0</v>
      </c>
      <c r="R900" s="74">
        <v>12</v>
      </c>
      <c r="S900" s="74">
        <v>0.7</v>
      </c>
      <c r="T900" s="75"/>
      <c r="U900" s="75"/>
      <c r="V900" s="76"/>
      <c r="W900" s="76"/>
      <c r="X900" s="77"/>
      <c r="Y900" s="78">
        <v>0.17</v>
      </c>
      <c r="Z900" s="79"/>
      <c r="AA900" s="69"/>
      <c r="AB900" s="68"/>
      <c r="AC900" s="68"/>
      <c r="AD900" s="68"/>
      <c r="AE900" s="80"/>
      <c r="AF900" s="80"/>
      <c r="AG900" s="80"/>
      <c r="AH900" s="80"/>
      <c r="AI900" s="81" t="s">
        <v>318</v>
      </c>
      <c r="AJ900" s="81" t="s">
        <v>246</v>
      </c>
      <c r="AK900" s="81">
        <v>1976</v>
      </c>
      <c r="AL900" s="81" t="s">
        <v>247</v>
      </c>
      <c r="AM900" s="81" t="s">
        <v>307</v>
      </c>
    </row>
    <row r="901" spans="1:39" s="82" customFormat="1" x14ac:dyDescent="0.3">
      <c r="A901" s="67">
        <v>0</v>
      </c>
      <c r="B901" s="68">
        <v>0</v>
      </c>
      <c r="C901" s="68"/>
      <c r="D901" s="68">
        <v>1</v>
      </c>
      <c r="E901" s="68">
        <v>4</v>
      </c>
      <c r="F901" s="68">
        <v>1</v>
      </c>
      <c r="G901" s="69">
        <v>5.5</v>
      </c>
      <c r="H901" s="68"/>
      <c r="I901" s="69"/>
      <c r="J901" s="69"/>
      <c r="K901" s="70">
        <v>3</v>
      </c>
      <c r="L901" s="68">
        <v>6120</v>
      </c>
      <c r="M901" s="71"/>
      <c r="N901" s="72">
        <v>5.5</v>
      </c>
      <c r="O901" s="84"/>
      <c r="P901" s="73"/>
      <c r="Q901" s="84">
        <v>0</v>
      </c>
      <c r="R901" s="74"/>
      <c r="S901" s="74"/>
      <c r="T901" s="75"/>
      <c r="U901" s="75"/>
      <c r="V901" s="76"/>
      <c r="W901" s="76"/>
      <c r="X901" s="77"/>
      <c r="Y901" s="78"/>
      <c r="Z901" s="79"/>
      <c r="AA901" s="69"/>
      <c r="AB901" s="68"/>
      <c r="AC901" s="68"/>
      <c r="AD901" s="68"/>
      <c r="AE901" s="80"/>
      <c r="AF901" s="80"/>
      <c r="AG901" s="80"/>
      <c r="AH901" s="80"/>
      <c r="AI901" s="81" t="s">
        <v>314</v>
      </c>
      <c r="AJ901" s="81" t="s">
        <v>246</v>
      </c>
      <c r="AK901" s="81">
        <v>1976</v>
      </c>
      <c r="AL901" s="81" t="s">
        <v>247</v>
      </c>
      <c r="AM901" s="81" t="s">
        <v>322</v>
      </c>
    </row>
    <row r="902" spans="1:39" x14ac:dyDescent="0.3">
      <c r="A902" s="1">
        <v>0</v>
      </c>
      <c r="B902" s="2">
        <v>19</v>
      </c>
      <c r="D902" s="2">
        <v>1</v>
      </c>
      <c r="E902" s="68">
        <v>4</v>
      </c>
      <c r="F902" s="2">
        <v>1</v>
      </c>
      <c r="G902" s="3">
        <v>5.5</v>
      </c>
      <c r="K902" s="4">
        <v>3</v>
      </c>
      <c r="L902" s="68">
        <v>6120</v>
      </c>
      <c r="N902" s="6">
        <v>5.5</v>
      </c>
      <c r="O902" s="17">
        <v>6120</v>
      </c>
      <c r="P902" s="7">
        <v>0.5</v>
      </c>
      <c r="Q902" s="84">
        <v>0</v>
      </c>
      <c r="R902" s="8">
        <v>3</v>
      </c>
      <c r="S902" s="8">
        <v>1</v>
      </c>
      <c r="Y902" s="12">
        <v>0.74</v>
      </c>
      <c r="AI902" s="81" t="s">
        <v>319</v>
      </c>
      <c r="AJ902" s="81" t="s">
        <v>246</v>
      </c>
      <c r="AK902" s="81">
        <v>1976</v>
      </c>
      <c r="AL902" s="81" t="s">
        <v>247</v>
      </c>
      <c r="AM902" s="81" t="s">
        <v>307</v>
      </c>
    </row>
    <row r="903" spans="1:39" s="82" customFormat="1" x14ac:dyDescent="0.3">
      <c r="A903" s="67">
        <v>0</v>
      </c>
      <c r="B903" s="68">
        <v>0</v>
      </c>
      <c r="C903" s="68"/>
      <c r="D903" s="68">
        <v>1</v>
      </c>
      <c r="E903" s="68">
        <v>4</v>
      </c>
      <c r="F903" s="68">
        <v>1</v>
      </c>
      <c r="G903" s="69">
        <v>5.5</v>
      </c>
      <c r="H903" s="68"/>
      <c r="I903" s="69"/>
      <c r="J903" s="69"/>
      <c r="K903" s="70">
        <v>3</v>
      </c>
      <c r="L903" s="68">
        <v>6120</v>
      </c>
      <c r="M903" s="71"/>
      <c r="N903" s="72">
        <v>5.5</v>
      </c>
      <c r="O903" s="84"/>
      <c r="P903" s="73"/>
      <c r="Q903" s="84">
        <v>0</v>
      </c>
      <c r="R903" s="74"/>
      <c r="S903" s="74"/>
      <c r="T903" s="75"/>
      <c r="U903" s="75"/>
      <c r="V903" s="76"/>
      <c r="W903" s="76"/>
      <c r="X903" s="77"/>
      <c r="Y903" s="78"/>
      <c r="Z903" s="79"/>
      <c r="AA903" s="69"/>
      <c r="AB903" s="68"/>
      <c r="AC903" s="68"/>
      <c r="AD903" s="68"/>
      <c r="AE903" s="80"/>
      <c r="AF903" s="80"/>
      <c r="AG903" s="80"/>
      <c r="AH903" s="80"/>
      <c r="AI903" s="81" t="s">
        <v>315</v>
      </c>
      <c r="AJ903" s="81" t="s">
        <v>246</v>
      </c>
      <c r="AK903" s="81">
        <v>1976</v>
      </c>
      <c r="AL903" s="81" t="s">
        <v>247</v>
      </c>
      <c r="AM903" s="81" t="s">
        <v>322</v>
      </c>
    </row>
    <row r="904" spans="1:39" s="82" customFormat="1" x14ac:dyDescent="0.3">
      <c r="A904" s="67">
        <v>0</v>
      </c>
      <c r="B904" s="68">
        <v>73</v>
      </c>
      <c r="C904" s="68"/>
      <c r="D904" s="68">
        <v>1</v>
      </c>
      <c r="E904" s="68">
        <v>4</v>
      </c>
      <c r="F904" s="68">
        <v>1</v>
      </c>
      <c r="G904" s="69">
        <v>5.5</v>
      </c>
      <c r="H904" s="68"/>
      <c r="I904" s="69"/>
      <c r="J904" s="69"/>
      <c r="K904" s="70">
        <v>3</v>
      </c>
      <c r="L904" s="68">
        <v>6120</v>
      </c>
      <c r="M904" s="71"/>
      <c r="N904" s="72">
        <v>5.5</v>
      </c>
      <c r="O904" s="84">
        <v>6120</v>
      </c>
      <c r="P904" s="73">
        <v>1</v>
      </c>
      <c r="Q904" s="84">
        <v>0</v>
      </c>
      <c r="R904" s="74">
        <v>6</v>
      </c>
      <c r="S904" s="74">
        <v>1</v>
      </c>
      <c r="T904" s="75"/>
      <c r="U904" s="75"/>
      <c r="V904" s="76"/>
      <c r="W904" s="76"/>
      <c r="X904" s="77"/>
      <c r="Y904" s="78">
        <v>0.41</v>
      </c>
      <c r="Z904" s="79"/>
      <c r="AA904" s="69"/>
      <c r="AB904" s="68"/>
      <c r="AC904" s="68"/>
      <c r="AD904" s="68"/>
      <c r="AE904" s="80"/>
      <c r="AF904" s="80"/>
      <c r="AG904" s="80"/>
      <c r="AH904" s="80"/>
      <c r="AI904" s="81" t="s">
        <v>320</v>
      </c>
      <c r="AJ904" s="81" t="s">
        <v>246</v>
      </c>
      <c r="AK904" s="81">
        <v>1976</v>
      </c>
      <c r="AL904" s="81" t="s">
        <v>247</v>
      </c>
      <c r="AM904" s="81" t="s">
        <v>307</v>
      </c>
    </row>
    <row r="905" spans="1:39" s="82" customFormat="1" x14ac:dyDescent="0.3">
      <c r="A905" s="67">
        <v>0</v>
      </c>
      <c r="B905" s="68">
        <v>0</v>
      </c>
      <c r="C905" s="68"/>
      <c r="D905" s="68">
        <v>1</v>
      </c>
      <c r="E905" s="68">
        <v>4</v>
      </c>
      <c r="F905" s="68">
        <v>1</v>
      </c>
      <c r="G905" s="69">
        <v>5.5</v>
      </c>
      <c r="H905" s="68"/>
      <c r="I905" s="69"/>
      <c r="J905" s="69"/>
      <c r="K905" s="70">
        <v>3</v>
      </c>
      <c r="L905" s="68">
        <v>6120</v>
      </c>
      <c r="M905" s="71"/>
      <c r="N905" s="72">
        <v>5.5</v>
      </c>
      <c r="O905" s="84"/>
      <c r="P905" s="73"/>
      <c r="Q905" s="84">
        <v>0</v>
      </c>
      <c r="R905" s="74"/>
      <c r="S905" s="74"/>
      <c r="T905" s="75"/>
      <c r="U905" s="75"/>
      <c r="V905" s="76"/>
      <c r="W905" s="76"/>
      <c r="X905" s="77"/>
      <c r="Y905" s="78"/>
      <c r="Z905" s="79"/>
      <c r="AA905" s="69"/>
      <c r="AB905" s="68"/>
      <c r="AC905" s="68"/>
      <c r="AD905" s="68"/>
      <c r="AE905" s="80"/>
      <c r="AF905" s="80"/>
      <c r="AG905" s="80"/>
      <c r="AH905" s="80"/>
      <c r="AI905" s="81" t="s">
        <v>316</v>
      </c>
      <c r="AJ905" s="81" t="s">
        <v>246</v>
      </c>
      <c r="AK905" s="81">
        <v>1976</v>
      </c>
      <c r="AL905" s="81" t="s">
        <v>247</v>
      </c>
      <c r="AM905" s="81" t="s">
        <v>322</v>
      </c>
    </row>
    <row r="906" spans="1:39" s="82" customFormat="1" x14ac:dyDescent="0.3">
      <c r="A906" s="67">
        <v>0</v>
      </c>
      <c r="B906" s="68">
        <v>55</v>
      </c>
      <c r="C906" s="68"/>
      <c r="D906" s="68">
        <v>1</v>
      </c>
      <c r="E906" s="68">
        <v>4</v>
      </c>
      <c r="F906" s="68">
        <v>1</v>
      </c>
      <c r="G906" s="69">
        <v>5.5</v>
      </c>
      <c r="H906" s="68"/>
      <c r="I906" s="69"/>
      <c r="J906" s="69"/>
      <c r="K906" s="70">
        <v>3</v>
      </c>
      <c r="L906" s="68">
        <v>6120</v>
      </c>
      <c r="M906" s="71"/>
      <c r="N906" s="72">
        <v>5.5</v>
      </c>
      <c r="O906" s="84">
        <v>6120</v>
      </c>
      <c r="P906" s="73">
        <v>1</v>
      </c>
      <c r="Q906" s="84">
        <v>0</v>
      </c>
      <c r="R906" s="74">
        <v>8</v>
      </c>
      <c r="S906" s="74">
        <v>0.7</v>
      </c>
      <c r="T906" s="75"/>
      <c r="U906" s="75"/>
      <c r="V906" s="76"/>
      <c r="W906" s="76"/>
      <c r="X906" s="77"/>
      <c r="Y906" s="78">
        <v>0.25</v>
      </c>
      <c r="Z906" s="79"/>
      <c r="AA906" s="69"/>
      <c r="AB906" s="68"/>
      <c r="AC906" s="68"/>
      <c r="AD906" s="68"/>
      <c r="AE906" s="80"/>
      <c r="AF906" s="80"/>
      <c r="AG906" s="80"/>
      <c r="AH906" s="80"/>
      <c r="AI906" s="81" t="s">
        <v>321</v>
      </c>
      <c r="AJ906" s="81" t="s">
        <v>246</v>
      </c>
      <c r="AK906" s="81">
        <v>1976</v>
      </c>
      <c r="AL906" s="81" t="s">
        <v>247</v>
      </c>
      <c r="AM906" s="81" t="s">
        <v>307</v>
      </c>
    </row>
    <row r="907" spans="1:39" x14ac:dyDescent="0.3">
      <c r="A907" s="1">
        <v>0</v>
      </c>
      <c r="B907" s="2">
        <v>0</v>
      </c>
      <c r="D907" s="2">
        <v>0</v>
      </c>
      <c r="F907" s="2">
        <v>0</v>
      </c>
      <c r="K907" s="70">
        <v>3</v>
      </c>
      <c r="L907" s="68">
        <v>1740</v>
      </c>
      <c r="M907" s="5">
        <v>4</v>
      </c>
      <c r="O907" s="84"/>
      <c r="Q907" s="84">
        <v>0</v>
      </c>
      <c r="X907" s="77"/>
      <c r="AI907" s="81" t="s">
        <v>249</v>
      </c>
      <c r="AJ907" s="81" t="s">
        <v>246</v>
      </c>
      <c r="AK907" s="81">
        <v>1976</v>
      </c>
      <c r="AL907" s="81" t="s">
        <v>247</v>
      </c>
      <c r="AM907" s="81" t="s">
        <v>546</v>
      </c>
    </row>
    <row r="908" spans="1:39" s="82" customFormat="1" x14ac:dyDescent="0.3">
      <c r="A908" s="67">
        <v>0</v>
      </c>
      <c r="B908" s="68">
        <v>0</v>
      </c>
      <c r="C908" s="68"/>
      <c r="D908" s="68">
        <v>1</v>
      </c>
      <c r="E908" s="68">
        <v>4</v>
      </c>
      <c r="F908" s="68">
        <v>0</v>
      </c>
      <c r="G908" s="69"/>
      <c r="H908" s="68"/>
      <c r="I908" s="69"/>
      <c r="J908" s="69"/>
      <c r="K908" s="70">
        <v>3</v>
      </c>
      <c r="L908" s="68">
        <v>4441</v>
      </c>
      <c r="M908" s="71"/>
      <c r="N908" s="72">
        <v>5.5</v>
      </c>
      <c r="O908" s="84"/>
      <c r="P908" s="73"/>
      <c r="Q908" s="84">
        <v>0</v>
      </c>
      <c r="R908" s="74"/>
      <c r="S908" s="74"/>
      <c r="T908" s="75"/>
      <c r="U908" s="75"/>
      <c r="V908" s="76"/>
      <c r="W908" s="76"/>
      <c r="X908" s="77"/>
      <c r="Y908" s="78"/>
      <c r="Z908" s="79"/>
      <c r="AA908" s="69"/>
      <c r="AB908" s="68"/>
      <c r="AC908" s="68"/>
      <c r="AD908" s="68"/>
      <c r="AE908" s="80"/>
      <c r="AF908" s="80"/>
      <c r="AG908" s="80"/>
      <c r="AH908" s="80"/>
      <c r="AI908" s="81" t="s">
        <v>249</v>
      </c>
      <c r="AJ908" s="81" t="s">
        <v>246</v>
      </c>
      <c r="AK908" s="81">
        <v>1976</v>
      </c>
      <c r="AL908" s="81" t="s">
        <v>247</v>
      </c>
      <c r="AM908" s="81" t="s">
        <v>546</v>
      </c>
    </row>
    <row r="909" spans="1:39" s="82" customFormat="1" x14ac:dyDescent="0.3">
      <c r="A909" s="67">
        <v>0</v>
      </c>
      <c r="B909" s="68">
        <v>45</v>
      </c>
      <c r="C909" s="68"/>
      <c r="D909" s="68">
        <v>1</v>
      </c>
      <c r="E909" s="68">
        <v>4</v>
      </c>
      <c r="F909" s="68">
        <v>1</v>
      </c>
      <c r="G909" s="69">
        <v>5.5</v>
      </c>
      <c r="H909" s="68"/>
      <c r="I909" s="69"/>
      <c r="J909" s="69"/>
      <c r="K909" s="70">
        <v>3</v>
      </c>
      <c r="L909" s="68">
        <v>6120</v>
      </c>
      <c r="M909" s="71"/>
      <c r="N909" s="72">
        <v>5.5</v>
      </c>
      <c r="O909" s="84">
        <v>6120</v>
      </c>
      <c r="P909" s="73">
        <f>48/53</f>
        <v>0.90566037735849059</v>
      </c>
      <c r="Q909" s="84">
        <v>0</v>
      </c>
      <c r="R909" s="74">
        <v>7.04</v>
      </c>
      <c r="S909" s="74">
        <v>2.99</v>
      </c>
      <c r="T909" s="75">
        <v>9.6</v>
      </c>
      <c r="U909" s="75"/>
      <c r="V909" s="76"/>
      <c r="W909" s="76"/>
      <c r="X909" s="77">
        <f>L909+42</f>
        <v>6162</v>
      </c>
      <c r="Y909" s="78">
        <v>0.36</v>
      </c>
      <c r="Z909" s="79"/>
      <c r="AA909" s="69"/>
      <c r="AB909" s="68"/>
      <c r="AC909" s="68"/>
      <c r="AD909" s="68"/>
      <c r="AE909" s="80"/>
      <c r="AF909" s="80"/>
      <c r="AG909" s="80"/>
      <c r="AH909" s="80"/>
      <c r="AI909" s="81" t="s">
        <v>249</v>
      </c>
      <c r="AJ909" s="81" t="s">
        <v>246</v>
      </c>
      <c r="AK909" s="81">
        <v>1976</v>
      </c>
      <c r="AL909" s="81" t="s">
        <v>247</v>
      </c>
      <c r="AM909" s="81" t="s">
        <v>307</v>
      </c>
    </row>
    <row r="910" spans="1:39" x14ac:dyDescent="0.3">
      <c r="A910" s="1">
        <v>0</v>
      </c>
      <c r="B910" s="2">
        <v>0</v>
      </c>
      <c r="D910" s="2">
        <v>0</v>
      </c>
      <c r="F910" s="2">
        <v>0</v>
      </c>
      <c r="K910" s="4">
        <v>3</v>
      </c>
      <c r="L910" s="68">
        <v>1740</v>
      </c>
      <c r="M910" s="5">
        <v>4</v>
      </c>
      <c r="O910" s="84"/>
      <c r="Q910" s="84">
        <v>0</v>
      </c>
      <c r="X910" s="77"/>
      <c r="AI910" s="81" t="s">
        <v>248</v>
      </c>
      <c r="AJ910" s="81" t="s">
        <v>246</v>
      </c>
      <c r="AK910" s="81">
        <v>1976</v>
      </c>
      <c r="AL910" s="81" t="s">
        <v>247</v>
      </c>
      <c r="AM910" s="81" t="s">
        <v>547</v>
      </c>
    </row>
    <row r="911" spans="1:39" x14ac:dyDescent="0.3">
      <c r="A911" s="1">
        <v>0</v>
      </c>
      <c r="B911" s="2">
        <v>36</v>
      </c>
      <c r="D911" s="2">
        <v>1</v>
      </c>
      <c r="E911" s="68">
        <v>4</v>
      </c>
      <c r="F911" s="2">
        <v>0</v>
      </c>
      <c r="K911" s="4">
        <v>3</v>
      </c>
      <c r="L911" s="68">
        <v>6120</v>
      </c>
      <c r="N911" s="6">
        <v>5.5</v>
      </c>
      <c r="O911" s="84">
        <v>6120</v>
      </c>
      <c r="P911" s="7">
        <f>34/40</f>
        <v>0.85</v>
      </c>
      <c r="Q911" s="84">
        <v>0</v>
      </c>
      <c r="R911" s="8">
        <v>6.3</v>
      </c>
      <c r="S911" s="8">
        <v>7.71</v>
      </c>
      <c r="T911" s="9">
        <v>9.6</v>
      </c>
      <c r="X911" s="77">
        <f>L911+42</f>
        <v>6162</v>
      </c>
      <c r="Y911" s="12">
        <v>0.5</v>
      </c>
      <c r="AI911" s="81" t="s">
        <v>248</v>
      </c>
      <c r="AJ911" s="81" t="s">
        <v>246</v>
      </c>
      <c r="AK911" s="81">
        <v>1976</v>
      </c>
      <c r="AL911" s="81" t="s">
        <v>247</v>
      </c>
      <c r="AM911" s="81" t="s">
        <v>307</v>
      </c>
    </row>
    <row r="912" spans="1:39" s="82" customFormat="1" x14ac:dyDescent="0.3">
      <c r="A912" s="67">
        <v>205</v>
      </c>
      <c r="B912" s="68"/>
      <c r="C912" s="68"/>
      <c r="D912" s="68">
        <v>0</v>
      </c>
      <c r="E912" s="68"/>
      <c r="F912" s="68">
        <v>5</v>
      </c>
      <c r="G912" s="69">
        <v>6</v>
      </c>
      <c r="H912" s="68"/>
      <c r="I912" s="69"/>
      <c r="J912" s="69"/>
      <c r="K912" s="70">
        <v>1</v>
      </c>
      <c r="L912" s="68">
        <v>270</v>
      </c>
      <c r="M912" s="71">
        <v>40</v>
      </c>
      <c r="N912" s="72"/>
      <c r="O912" s="84">
        <v>270</v>
      </c>
      <c r="P912" s="73">
        <v>0.97599999999999998</v>
      </c>
      <c r="Q912" s="84">
        <v>1</v>
      </c>
      <c r="R912" s="74">
        <v>9.1999999999999993</v>
      </c>
      <c r="S912" s="74"/>
      <c r="T912" s="75">
        <v>11</v>
      </c>
      <c r="U912" s="75"/>
      <c r="V912" s="76"/>
      <c r="W912" s="76">
        <v>1</v>
      </c>
      <c r="X912" s="77">
        <v>300</v>
      </c>
      <c r="Y912" s="78"/>
      <c r="Z912" s="79"/>
      <c r="AA912" s="69"/>
      <c r="AB912" s="68"/>
      <c r="AC912" s="68"/>
      <c r="AD912" s="68"/>
      <c r="AE912" s="80"/>
      <c r="AF912" s="80"/>
      <c r="AG912" s="80"/>
      <c r="AH912" s="80"/>
      <c r="AI912" s="81" t="s">
        <v>120</v>
      </c>
      <c r="AJ912" s="81" t="s">
        <v>118</v>
      </c>
      <c r="AK912" s="81">
        <v>2000</v>
      </c>
      <c r="AL912" s="81" t="s">
        <v>119</v>
      </c>
      <c r="AM912" s="81"/>
    </row>
    <row r="913" spans="1:39" x14ac:dyDescent="0.3">
      <c r="A913" s="1">
        <v>177</v>
      </c>
      <c r="D913" s="2">
        <v>0</v>
      </c>
      <c r="E913" s="68"/>
      <c r="F913" s="2">
        <v>5</v>
      </c>
      <c r="G913" s="3">
        <v>6</v>
      </c>
      <c r="K913" s="4">
        <v>1</v>
      </c>
      <c r="L913" s="68">
        <v>270</v>
      </c>
      <c r="N913" s="6">
        <v>6</v>
      </c>
      <c r="O913" s="84">
        <v>270</v>
      </c>
      <c r="P913" s="7">
        <v>0.97199999999999998</v>
      </c>
      <c r="Q913" s="84">
        <v>1</v>
      </c>
      <c r="R913" s="8">
        <v>9.8000000000000007</v>
      </c>
      <c r="T913" s="9">
        <v>10.199999999999999</v>
      </c>
      <c r="W913" s="10">
        <v>0.98899999999999999</v>
      </c>
      <c r="X913" s="77">
        <v>300</v>
      </c>
      <c r="AI913" s="81" t="s">
        <v>159</v>
      </c>
      <c r="AJ913" s="81" t="s">
        <v>118</v>
      </c>
      <c r="AK913" s="81">
        <v>2000</v>
      </c>
      <c r="AL913" s="81" t="s">
        <v>119</v>
      </c>
      <c r="AM913" s="81" t="s">
        <v>158</v>
      </c>
    </row>
    <row r="914" spans="1:39" s="82" customFormat="1" x14ac:dyDescent="0.3">
      <c r="A914" s="67">
        <v>198</v>
      </c>
      <c r="B914" s="68"/>
      <c r="C914" s="68"/>
      <c r="D914" s="68">
        <v>0</v>
      </c>
      <c r="E914" s="68"/>
      <c r="F914" s="68">
        <v>5</v>
      </c>
      <c r="G914" s="69">
        <v>6</v>
      </c>
      <c r="H914" s="68"/>
      <c r="I914" s="69"/>
      <c r="J914" s="69"/>
      <c r="K914" s="70">
        <v>1</v>
      </c>
      <c r="L914" s="68">
        <v>270</v>
      </c>
      <c r="M914" s="71"/>
      <c r="N914" s="72">
        <v>6.5</v>
      </c>
      <c r="O914" s="84">
        <v>270</v>
      </c>
      <c r="P914" s="73">
        <v>0.96</v>
      </c>
      <c r="Q914" s="84">
        <v>1</v>
      </c>
      <c r="R914" s="74">
        <v>9.5</v>
      </c>
      <c r="S914" s="74"/>
      <c r="T914" s="75">
        <v>9.8000000000000007</v>
      </c>
      <c r="U914" s="75"/>
      <c r="V914" s="76"/>
      <c r="W914" s="76">
        <v>0.97499999999999998</v>
      </c>
      <c r="X914" s="77">
        <v>300</v>
      </c>
      <c r="Y914" s="78"/>
      <c r="Z914" s="79"/>
      <c r="AA914" s="69"/>
      <c r="AB914" s="68"/>
      <c r="AC914" s="68"/>
      <c r="AD914" s="68"/>
      <c r="AE914" s="80"/>
      <c r="AF914" s="80"/>
      <c r="AG914" s="80"/>
      <c r="AH914" s="80"/>
      <c r="AI914" s="81" t="s">
        <v>157</v>
      </c>
      <c r="AJ914" s="81" t="s">
        <v>118</v>
      </c>
      <c r="AK914" s="81">
        <v>2000</v>
      </c>
      <c r="AL914" s="81" t="s">
        <v>119</v>
      </c>
      <c r="AM914" s="81" t="s">
        <v>158</v>
      </c>
    </row>
    <row r="915" spans="1:39" s="82" customFormat="1" x14ac:dyDescent="0.3">
      <c r="A915" s="67">
        <v>205</v>
      </c>
      <c r="B915" s="68"/>
      <c r="C915" s="68"/>
      <c r="D915" s="68">
        <v>0</v>
      </c>
      <c r="E915" s="68"/>
      <c r="F915" s="68">
        <v>5</v>
      </c>
      <c r="G915" s="69">
        <v>5</v>
      </c>
      <c r="H915" s="68"/>
      <c r="I915" s="69"/>
      <c r="J915" s="69"/>
      <c r="K915" s="70">
        <v>2</v>
      </c>
      <c r="L915" s="68">
        <v>270</v>
      </c>
      <c r="M915" s="71">
        <v>8</v>
      </c>
      <c r="N915" s="72"/>
      <c r="O915" s="84">
        <v>270</v>
      </c>
      <c r="P915" s="73">
        <v>0.96599999999999997</v>
      </c>
      <c r="Q915" s="84">
        <v>1</v>
      </c>
      <c r="R915" s="74">
        <v>10.199999999999999</v>
      </c>
      <c r="S915" s="74"/>
      <c r="T915" s="75">
        <v>11</v>
      </c>
      <c r="U915" s="75"/>
      <c r="V915" s="76"/>
      <c r="W915" s="76">
        <v>1</v>
      </c>
      <c r="X915" s="77">
        <v>300</v>
      </c>
      <c r="Y915" s="78"/>
      <c r="Z915" s="79"/>
      <c r="AA915" s="69"/>
      <c r="AB915" s="68"/>
      <c r="AC915" s="68"/>
      <c r="AD915" s="68"/>
      <c r="AE915" s="80"/>
      <c r="AF915" s="80"/>
      <c r="AG915" s="80"/>
      <c r="AH915" s="80"/>
      <c r="AI915" s="81" t="s">
        <v>120</v>
      </c>
      <c r="AJ915" s="81" t="s">
        <v>118</v>
      </c>
      <c r="AK915" s="81">
        <v>2000</v>
      </c>
      <c r="AL915" s="81" t="s">
        <v>119</v>
      </c>
      <c r="AM915" s="81"/>
    </row>
    <row r="916" spans="1:39" x14ac:dyDescent="0.3">
      <c r="A916" s="1">
        <v>177</v>
      </c>
      <c r="D916" s="2">
        <v>0</v>
      </c>
      <c r="E916" s="68"/>
      <c r="F916" s="2">
        <v>5</v>
      </c>
      <c r="G916" s="3">
        <v>5</v>
      </c>
      <c r="K916" s="4">
        <v>2</v>
      </c>
      <c r="L916" s="68">
        <v>270</v>
      </c>
      <c r="N916" s="6">
        <v>5</v>
      </c>
      <c r="O916" s="84">
        <v>270</v>
      </c>
      <c r="P916" s="7">
        <v>0.99399999999999999</v>
      </c>
      <c r="Q916" s="84">
        <v>1</v>
      </c>
      <c r="R916" s="8">
        <v>10.5</v>
      </c>
      <c r="T916" s="9">
        <v>10.5</v>
      </c>
      <c r="W916" s="10">
        <v>0.98299999999999998</v>
      </c>
      <c r="X916" s="77">
        <v>300</v>
      </c>
      <c r="AI916" s="81" t="s">
        <v>159</v>
      </c>
      <c r="AJ916" s="81" t="s">
        <v>118</v>
      </c>
      <c r="AK916" s="81">
        <v>2000</v>
      </c>
      <c r="AL916" s="81" t="s">
        <v>119</v>
      </c>
      <c r="AM916" s="81" t="s">
        <v>184</v>
      </c>
    </row>
    <row r="917" spans="1:39" s="82" customFormat="1" x14ac:dyDescent="0.3">
      <c r="A917" s="67">
        <v>198</v>
      </c>
      <c r="B917" s="68"/>
      <c r="C917" s="68"/>
      <c r="D917" s="68">
        <v>0</v>
      </c>
      <c r="E917" s="68"/>
      <c r="F917" s="68">
        <v>5</v>
      </c>
      <c r="G917" s="69">
        <v>5</v>
      </c>
      <c r="H917" s="68"/>
      <c r="I917" s="69"/>
      <c r="J917" s="69"/>
      <c r="K917" s="70">
        <v>2</v>
      </c>
      <c r="L917" s="68">
        <v>270</v>
      </c>
      <c r="M917" s="71"/>
      <c r="N917" s="72">
        <v>5.6</v>
      </c>
      <c r="O917" s="84">
        <v>270</v>
      </c>
      <c r="P917" s="73">
        <v>0.97</v>
      </c>
      <c r="Q917" s="84">
        <v>1</v>
      </c>
      <c r="R917" s="74">
        <v>9.8000000000000007</v>
      </c>
      <c r="S917" s="74"/>
      <c r="T917" s="75">
        <v>10.199999999999999</v>
      </c>
      <c r="U917" s="75"/>
      <c r="V917" s="76"/>
      <c r="W917" s="76">
        <v>0.98</v>
      </c>
      <c r="X917" s="77">
        <v>300</v>
      </c>
      <c r="Y917" s="78"/>
      <c r="Z917" s="79"/>
      <c r="AA917" s="69"/>
      <c r="AB917" s="68"/>
      <c r="AC917" s="68"/>
      <c r="AD917" s="68"/>
      <c r="AE917" s="80"/>
      <c r="AF917" s="80"/>
      <c r="AG917" s="80"/>
      <c r="AH917" s="80"/>
      <c r="AI917" s="81" t="s">
        <v>157</v>
      </c>
      <c r="AJ917" s="81" t="s">
        <v>118</v>
      </c>
      <c r="AK917" s="81">
        <v>2000</v>
      </c>
      <c r="AL917" s="81" t="s">
        <v>119</v>
      </c>
      <c r="AM917" s="81" t="s">
        <v>183</v>
      </c>
    </row>
    <row r="918" spans="1:39" s="82" customFormat="1" x14ac:dyDescent="0.3">
      <c r="A918" s="67">
        <v>205</v>
      </c>
      <c r="B918" s="68"/>
      <c r="C918" s="68"/>
      <c r="D918" s="68">
        <v>0</v>
      </c>
      <c r="E918" s="68"/>
      <c r="F918" s="68">
        <v>5</v>
      </c>
      <c r="G918" s="69">
        <v>5.7</v>
      </c>
      <c r="H918" s="68"/>
      <c r="I918" s="69"/>
      <c r="J918" s="69"/>
      <c r="K918" s="70">
        <v>3</v>
      </c>
      <c r="L918" s="68">
        <v>270</v>
      </c>
      <c r="M918" s="71">
        <v>32</v>
      </c>
      <c r="N918" s="72"/>
      <c r="O918" s="84">
        <v>270</v>
      </c>
      <c r="P918" s="73">
        <v>0.878</v>
      </c>
      <c r="Q918" s="84">
        <v>1</v>
      </c>
      <c r="R918" s="74">
        <v>7.8</v>
      </c>
      <c r="S918" s="74"/>
      <c r="T918" s="75">
        <v>11</v>
      </c>
      <c r="U918" s="75"/>
      <c r="V918" s="76"/>
      <c r="W918" s="76">
        <v>0.97099999999999997</v>
      </c>
      <c r="X918" s="77">
        <v>300</v>
      </c>
      <c r="Y918" s="78"/>
      <c r="Z918" s="79"/>
      <c r="AA918" s="69"/>
      <c r="AB918" s="68"/>
      <c r="AC918" s="68"/>
      <c r="AD918" s="68"/>
      <c r="AE918" s="80"/>
      <c r="AF918" s="80"/>
      <c r="AG918" s="80"/>
      <c r="AH918" s="80"/>
      <c r="AI918" s="81" t="s">
        <v>120</v>
      </c>
      <c r="AJ918" s="81" t="s">
        <v>118</v>
      </c>
      <c r="AK918" s="81">
        <v>2000</v>
      </c>
      <c r="AL918" s="81" t="s">
        <v>119</v>
      </c>
      <c r="AM918" s="81"/>
    </row>
    <row r="919" spans="1:39" x14ac:dyDescent="0.3">
      <c r="A919" s="1">
        <v>205</v>
      </c>
      <c r="B919" s="2">
        <v>205</v>
      </c>
      <c r="D919" s="2">
        <v>1</v>
      </c>
      <c r="E919" s="68">
        <v>32</v>
      </c>
      <c r="F919" s="2">
        <v>5</v>
      </c>
      <c r="G919" s="3">
        <v>5.7</v>
      </c>
      <c r="K919" s="4">
        <v>3</v>
      </c>
      <c r="L919" s="68">
        <v>450</v>
      </c>
      <c r="N919" s="6">
        <v>6.12</v>
      </c>
      <c r="O919" s="84">
        <v>450</v>
      </c>
      <c r="Q919" s="84">
        <v>1</v>
      </c>
      <c r="R919" s="8">
        <v>8.6999999999999993</v>
      </c>
      <c r="S919" s="8">
        <v>6.4</v>
      </c>
      <c r="T919" s="9">
        <v>9.5</v>
      </c>
      <c r="U919" s="9">
        <v>9.4</v>
      </c>
      <c r="X919" s="77">
        <v>480</v>
      </c>
      <c r="Y919" s="12">
        <v>0.13200000000000001</v>
      </c>
      <c r="AI919" s="81" t="s">
        <v>120</v>
      </c>
      <c r="AJ919" s="81" t="s">
        <v>118</v>
      </c>
      <c r="AK919" s="81">
        <v>2000</v>
      </c>
      <c r="AL919" s="81" t="s">
        <v>119</v>
      </c>
      <c r="AM919" s="81"/>
    </row>
    <row r="920" spans="1:39" s="82" customFormat="1" x14ac:dyDescent="0.3">
      <c r="A920" s="67">
        <v>205</v>
      </c>
      <c r="B920" s="68"/>
      <c r="C920" s="68"/>
      <c r="D920" s="68">
        <v>0</v>
      </c>
      <c r="E920" s="68"/>
      <c r="F920" s="68">
        <v>5</v>
      </c>
      <c r="G920" s="69">
        <v>5.7</v>
      </c>
      <c r="H920" s="68"/>
      <c r="I920" s="69"/>
      <c r="J920" s="69"/>
      <c r="K920" s="70">
        <v>3</v>
      </c>
      <c r="L920" s="68">
        <v>270</v>
      </c>
      <c r="M920" s="71"/>
      <c r="N920" s="72">
        <v>5.8</v>
      </c>
      <c r="O920" s="84">
        <v>270</v>
      </c>
      <c r="P920" s="73">
        <v>0.93200000000000005</v>
      </c>
      <c r="Q920" s="84">
        <v>1</v>
      </c>
      <c r="R920" s="74">
        <v>7.8</v>
      </c>
      <c r="S920" s="74">
        <v>3.8</v>
      </c>
      <c r="T920" s="75">
        <v>8.1</v>
      </c>
      <c r="U920" s="75">
        <v>21.8</v>
      </c>
      <c r="V920" s="76"/>
      <c r="W920" s="76">
        <v>0.92200000000000004</v>
      </c>
      <c r="X920" s="77">
        <v>300</v>
      </c>
      <c r="Y920" s="78"/>
      <c r="Z920" s="79"/>
      <c r="AA920" s="69"/>
      <c r="AB920" s="68"/>
      <c r="AC920" s="68"/>
      <c r="AD920" s="68"/>
      <c r="AE920" s="80"/>
      <c r="AF920" s="80"/>
      <c r="AG920" s="80"/>
      <c r="AH920" s="80"/>
      <c r="AI920" s="81" t="s">
        <v>185</v>
      </c>
      <c r="AJ920" s="81" t="s">
        <v>118</v>
      </c>
      <c r="AK920" s="81">
        <v>2000</v>
      </c>
      <c r="AL920" s="81" t="s">
        <v>119</v>
      </c>
      <c r="AM920" s="81" t="s">
        <v>186</v>
      </c>
    </row>
    <row r="921" spans="1:39" s="82" customFormat="1" x14ac:dyDescent="0.3">
      <c r="A921" s="67">
        <v>205</v>
      </c>
      <c r="B921" s="68">
        <v>205</v>
      </c>
      <c r="C921" s="68"/>
      <c r="D921" s="68">
        <v>0</v>
      </c>
      <c r="E921" s="68"/>
      <c r="F921" s="68">
        <v>6</v>
      </c>
      <c r="G921" s="69">
        <v>5.7</v>
      </c>
      <c r="H921" s="68"/>
      <c r="I921" s="69"/>
      <c r="J921" s="69"/>
      <c r="K921" s="70">
        <v>3</v>
      </c>
      <c r="L921" s="68">
        <v>450</v>
      </c>
      <c r="M921" s="71"/>
      <c r="N921" s="72">
        <v>6.12</v>
      </c>
      <c r="O921" s="84">
        <v>450</v>
      </c>
      <c r="P921" s="73"/>
      <c r="Q921" s="84">
        <v>1</v>
      </c>
      <c r="R921" s="74">
        <v>6.6</v>
      </c>
      <c r="S921" s="74">
        <v>20.3</v>
      </c>
      <c r="T921" s="75">
        <v>7.8</v>
      </c>
      <c r="U921" s="75">
        <v>22.3</v>
      </c>
      <c r="V921" s="76"/>
      <c r="W921" s="76"/>
      <c r="X921" s="77">
        <v>480</v>
      </c>
      <c r="Y921" s="78">
        <v>0.13200000000000001</v>
      </c>
      <c r="Z921" s="79"/>
      <c r="AA921" s="69"/>
      <c r="AB921" s="68"/>
      <c r="AC921" s="68"/>
      <c r="AD921" s="68"/>
      <c r="AE921" s="80"/>
      <c r="AF921" s="80"/>
      <c r="AG921" s="80"/>
      <c r="AH921" s="80"/>
      <c r="AI921" s="81" t="s">
        <v>185</v>
      </c>
      <c r="AJ921" s="81" t="s">
        <v>118</v>
      </c>
      <c r="AK921" s="81">
        <v>2000</v>
      </c>
      <c r="AL921" s="81" t="s">
        <v>119</v>
      </c>
      <c r="AM921" s="81" t="s">
        <v>187</v>
      </c>
    </row>
    <row r="922" spans="1:39" x14ac:dyDescent="0.3">
      <c r="A922" s="1">
        <v>177</v>
      </c>
      <c r="D922" s="2">
        <v>0</v>
      </c>
      <c r="F922" s="2">
        <v>5</v>
      </c>
      <c r="G922" s="3">
        <v>5.7</v>
      </c>
      <c r="K922" s="4">
        <v>3</v>
      </c>
      <c r="L922" s="68">
        <v>270</v>
      </c>
      <c r="N922" s="6">
        <v>5.8</v>
      </c>
      <c r="O922" s="84">
        <v>270</v>
      </c>
      <c r="P922" s="7">
        <v>0.87</v>
      </c>
      <c r="Q922" s="84">
        <v>1</v>
      </c>
      <c r="R922" s="8">
        <v>7.5</v>
      </c>
      <c r="T922" s="9">
        <v>7.8</v>
      </c>
      <c r="W922" s="10">
        <v>0.876</v>
      </c>
      <c r="X922" s="77">
        <v>300</v>
      </c>
      <c r="AI922" s="81" t="s">
        <v>159</v>
      </c>
      <c r="AJ922" s="81" t="s">
        <v>118</v>
      </c>
      <c r="AK922" s="81">
        <v>2000</v>
      </c>
      <c r="AL922" s="81" t="s">
        <v>119</v>
      </c>
      <c r="AM922" s="81" t="s">
        <v>183</v>
      </c>
    </row>
    <row r="923" spans="1:39" x14ac:dyDescent="0.3">
      <c r="A923" s="1">
        <v>177</v>
      </c>
      <c r="B923" s="2">
        <v>177</v>
      </c>
      <c r="D923" s="2">
        <v>0</v>
      </c>
      <c r="F923" s="2">
        <v>6</v>
      </c>
      <c r="G923" s="3">
        <v>5.7</v>
      </c>
      <c r="K923" s="4">
        <v>3</v>
      </c>
      <c r="L923" s="2">
        <v>450</v>
      </c>
      <c r="N923" s="6">
        <v>6.12</v>
      </c>
      <c r="O923" s="17">
        <v>450</v>
      </c>
      <c r="Q923" s="84">
        <v>1</v>
      </c>
      <c r="R923" s="8">
        <v>6.2</v>
      </c>
      <c r="T923" s="9">
        <v>6.8</v>
      </c>
      <c r="X923" s="11">
        <v>480</v>
      </c>
      <c r="Y923" s="12">
        <v>0.13200000000000001</v>
      </c>
      <c r="AI923" s="81" t="s">
        <v>159</v>
      </c>
      <c r="AJ923" s="81" t="s">
        <v>118</v>
      </c>
      <c r="AK923" s="15">
        <v>2000</v>
      </c>
      <c r="AL923" s="81" t="s">
        <v>119</v>
      </c>
      <c r="AM923" s="81" t="s">
        <v>187</v>
      </c>
    </row>
    <row r="924" spans="1:39" x14ac:dyDescent="0.3">
      <c r="A924" s="1">
        <v>198</v>
      </c>
      <c r="D924" s="2">
        <v>0</v>
      </c>
      <c r="F924" s="2">
        <v>5</v>
      </c>
      <c r="G924" s="3">
        <v>5.7</v>
      </c>
      <c r="K924" s="4">
        <v>3</v>
      </c>
      <c r="L924" s="2">
        <v>270</v>
      </c>
      <c r="N924" s="6">
        <v>6.3</v>
      </c>
      <c r="O924" s="17">
        <v>270</v>
      </c>
      <c r="P924" s="7">
        <v>0.83799999999999997</v>
      </c>
      <c r="Q924" s="84">
        <v>1</v>
      </c>
      <c r="R924" s="8">
        <v>7</v>
      </c>
      <c r="T924" s="9">
        <v>7.2</v>
      </c>
      <c r="W924" s="10">
        <v>0.85899999999999999</v>
      </c>
      <c r="X924" s="11">
        <v>300</v>
      </c>
      <c r="AI924" s="81" t="s">
        <v>157</v>
      </c>
      <c r="AJ924" s="81" t="s">
        <v>118</v>
      </c>
      <c r="AK924" s="81">
        <v>2000</v>
      </c>
      <c r="AL924" s="81" t="s">
        <v>119</v>
      </c>
      <c r="AM924" s="81" t="s">
        <v>183</v>
      </c>
    </row>
    <row r="925" spans="1:39" x14ac:dyDescent="0.3">
      <c r="A925" s="1">
        <v>198</v>
      </c>
      <c r="B925" s="2">
        <v>198</v>
      </c>
      <c r="D925" s="2">
        <v>0</v>
      </c>
      <c r="F925" s="2">
        <v>6</v>
      </c>
      <c r="G925" s="3">
        <v>5.7</v>
      </c>
      <c r="K925" s="4">
        <v>3</v>
      </c>
      <c r="L925" s="2">
        <v>450</v>
      </c>
      <c r="N925" s="6">
        <v>6.12</v>
      </c>
      <c r="O925" s="17">
        <v>450</v>
      </c>
      <c r="Q925" s="84">
        <v>1</v>
      </c>
      <c r="R925" s="8">
        <v>5.7</v>
      </c>
      <c r="T925" s="9">
        <v>6.8</v>
      </c>
      <c r="X925" s="11">
        <v>480</v>
      </c>
      <c r="Y925" s="12">
        <v>0.13200000000000001</v>
      </c>
      <c r="AI925" s="81" t="s">
        <v>157</v>
      </c>
      <c r="AJ925" s="81" t="s">
        <v>118</v>
      </c>
      <c r="AK925" s="81">
        <v>2000</v>
      </c>
      <c r="AL925" s="81" t="s">
        <v>119</v>
      </c>
      <c r="AM925" s="81" t="s">
        <v>187</v>
      </c>
    </row>
    <row r="926" spans="1:39" x14ac:dyDescent="0.3">
      <c r="A926" s="1">
        <v>0</v>
      </c>
      <c r="B926" s="2">
        <v>115</v>
      </c>
      <c r="D926" s="68">
        <v>0</v>
      </c>
      <c r="E926" s="68"/>
      <c r="F926" s="68">
        <v>0</v>
      </c>
      <c r="H926" s="68"/>
      <c r="K926" s="4">
        <v>1</v>
      </c>
      <c r="L926" s="2">
        <v>2555</v>
      </c>
      <c r="Y926" s="12">
        <v>1</v>
      </c>
      <c r="AH926" s="80" t="s">
        <v>402</v>
      </c>
      <c r="AI926" s="81" t="s">
        <v>468</v>
      </c>
      <c r="AJ926" s="81" t="s">
        <v>463</v>
      </c>
      <c r="AK926" s="81">
        <v>1956</v>
      </c>
      <c r="AL926" s="81" t="s">
        <v>464</v>
      </c>
      <c r="AM926" s="81"/>
    </row>
    <row r="927" spans="1:39" x14ac:dyDescent="0.3">
      <c r="A927" s="1">
        <v>0</v>
      </c>
      <c r="B927" s="2">
        <v>95</v>
      </c>
      <c r="D927" s="68">
        <v>0</v>
      </c>
      <c r="E927" s="68"/>
      <c r="F927" s="68">
        <v>0</v>
      </c>
      <c r="H927" s="68"/>
      <c r="I927" s="69"/>
      <c r="J927" s="69"/>
      <c r="K927" s="70">
        <v>1</v>
      </c>
      <c r="L927" s="2">
        <v>2555</v>
      </c>
      <c r="R927" s="74"/>
      <c r="S927" s="74"/>
      <c r="Y927" s="12">
        <v>1</v>
      </c>
      <c r="AH927" s="80" t="s">
        <v>402</v>
      </c>
      <c r="AI927" s="81" t="s">
        <v>467</v>
      </c>
      <c r="AJ927" s="81" t="s">
        <v>463</v>
      </c>
      <c r="AK927" s="81">
        <v>1956</v>
      </c>
      <c r="AL927" s="81" t="s">
        <v>464</v>
      </c>
      <c r="AM927" s="81"/>
    </row>
    <row r="928" spans="1:39" x14ac:dyDescent="0.3">
      <c r="A928" s="1">
        <v>0</v>
      </c>
      <c r="B928" s="2">
        <v>234</v>
      </c>
      <c r="D928" s="68">
        <v>0</v>
      </c>
      <c r="E928" s="68"/>
      <c r="F928" s="68">
        <v>0</v>
      </c>
      <c r="H928" s="68"/>
      <c r="I928" s="69"/>
      <c r="J928" s="69"/>
      <c r="K928" s="70">
        <v>1</v>
      </c>
      <c r="L928" s="2">
        <v>2555</v>
      </c>
      <c r="R928" s="74"/>
      <c r="S928" s="74"/>
      <c r="Y928" s="12">
        <v>1</v>
      </c>
      <c r="AH928" s="80" t="s">
        <v>402</v>
      </c>
      <c r="AI928" s="81" t="s">
        <v>466</v>
      </c>
      <c r="AJ928" s="81" t="s">
        <v>463</v>
      </c>
      <c r="AK928" s="81">
        <v>1956</v>
      </c>
      <c r="AL928" s="81" t="s">
        <v>464</v>
      </c>
      <c r="AM928" s="81"/>
    </row>
    <row r="929" spans="1:39" x14ac:dyDescent="0.3">
      <c r="A929" s="1">
        <v>0</v>
      </c>
      <c r="B929" s="2">
        <v>120</v>
      </c>
      <c r="D929" s="68">
        <v>0</v>
      </c>
      <c r="E929" s="68"/>
      <c r="F929" s="68">
        <v>0</v>
      </c>
      <c r="H929" s="68"/>
      <c r="I929" s="69"/>
      <c r="J929" s="69"/>
      <c r="K929" s="70">
        <v>1</v>
      </c>
      <c r="L929" s="2">
        <v>2555</v>
      </c>
      <c r="R929" s="74"/>
      <c r="S929" s="74"/>
      <c r="Y929" s="12">
        <v>1</v>
      </c>
      <c r="AH929" s="80" t="s">
        <v>402</v>
      </c>
      <c r="AI929" s="81" t="s">
        <v>465</v>
      </c>
      <c r="AJ929" s="81" t="s">
        <v>463</v>
      </c>
      <c r="AK929" s="81">
        <v>1956</v>
      </c>
      <c r="AL929" s="81" t="s">
        <v>464</v>
      </c>
      <c r="AM929" s="81"/>
    </row>
    <row r="930" spans="1:39" x14ac:dyDescent="0.3">
      <c r="A930" s="1">
        <v>27</v>
      </c>
      <c r="B930" s="2">
        <v>51</v>
      </c>
      <c r="D930" s="68">
        <v>0</v>
      </c>
      <c r="E930" s="68"/>
      <c r="F930" s="68"/>
      <c r="H930" s="68">
        <v>60</v>
      </c>
      <c r="I930" s="69">
        <v>3.2</v>
      </c>
      <c r="J930" s="69"/>
      <c r="K930" s="70">
        <v>1</v>
      </c>
      <c r="L930" s="2">
        <v>60</v>
      </c>
      <c r="N930" s="6">
        <v>6</v>
      </c>
      <c r="O930" s="17">
        <v>60</v>
      </c>
      <c r="P930" s="7">
        <v>0.5</v>
      </c>
      <c r="Q930" s="84">
        <v>0</v>
      </c>
      <c r="R930" s="74">
        <v>3.2</v>
      </c>
      <c r="S930" s="74"/>
      <c r="T930" s="9">
        <f>LOG(25.9)/LOG(2)</f>
        <v>4.6948801927991921</v>
      </c>
      <c r="W930" s="10">
        <v>0.77700000000000002</v>
      </c>
      <c r="X930" s="11">
        <v>102</v>
      </c>
      <c r="Y930" s="12">
        <v>0.53800000000000003</v>
      </c>
      <c r="AI930" s="81" t="s">
        <v>382</v>
      </c>
      <c r="AJ930" s="81" t="s">
        <v>103</v>
      </c>
      <c r="AK930" s="81">
        <v>1972</v>
      </c>
      <c r="AL930" s="81" t="s">
        <v>104</v>
      </c>
      <c r="AM930" s="81"/>
    </row>
    <row r="931" spans="1:39" x14ac:dyDescent="0.3">
      <c r="A931" s="1">
        <v>27</v>
      </c>
      <c r="B931" s="2">
        <v>51</v>
      </c>
      <c r="D931" s="68">
        <v>0</v>
      </c>
      <c r="E931" s="68"/>
      <c r="F931" s="68"/>
      <c r="H931" s="68">
        <v>60</v>
      </c>
      <c r="I931" s="69">
        <v>3.2</v>
      </c>
      <c r="J931" s="69"/>
      <c r="K931" s="70">
        <v>1</v>
      </c>
      <c r="L931" s="2">
        <v>102</v>
      </c>
      <c r="N931" s="6">
        <v>6</v>
      </c>
      <c r="O931" s="17">
        <v>102</v>
      </c>
      <c r="Q931" s="84">
        <v>0</v>
      </c>
      <c r="R931" s="74"/>
      <c r="S931" s="74"/>
      <c r="T931" s="9">
        <f>LOG(91.3)/LOG(2)</f>
        <v>6.5125429550968592</v>
      </c>
      <c r="W931" s="10">
        <v>0.85699999999999998</v>
      </c>
      <c r="X931" s="11">
        <v>144</v>
      </c>
      <c r="Y931" s="12">
        <v>0.38</v>
      </c>
      <c r="AI931" s="81" t="s">
        <v>382</v>
      </c>
      <c r="AJ931" s="81" t="s">
        <v>103</v>
      </c>
      <c r="AK931" s="81">
        <v>1972</v>
      </c>
      <c r="AL931" s="81" t="s">
        <v>104</v>
      </c>
      <c r="AM931" s="81"/>
    </row>
    <row r="932" spans="1:39" x14ac:dyDescent="0.3">
      <c r="A932" s="1">
        <v>27</v>
      </c>
      <c r="B932" s="2">
        <v>51</v>
      </c>
      <c r="D932" s="68">
        <v>0</v>
      </c>
      <c r="E932" s="68"/>
      <c r="F932" s="68"/>
      <c r="H932" s="68">
        <v>60</v>
      </c>
      <c r="I932" s="69">
        <v>3.2</v>
      </c>
      <c r="J932" s="69"/>
      <c r="K932" s="70">
        <v>1</v>
      </c>
      <c r="L932" s="2">
        <v>144</v>
      </c>
      <c r="N932" s="6">
        <v>6</v>
      </c>
      <c r="O932" s="17">
        <v>144</v>
      </c>
      <c r="Q932" s="84">
        <v>0</v>
      </c>
      <c r="R932" s="74"/>
      <c r="S932" s="74"/>
      <c r="T932" s="9">
        <f>LOG(109.4)/LOG(2)</f>
        <v>6.7734689279051947</v>
      </c>
      <c r="W932" s="10">
        <v>0.96399999999999997</v>
      </c>
      <c r="X932" s="11">
        <v>204</v>
      </c>
      <c r="Y932" s="12">
        <v>0.23</v>
      </c>
      <c r="AI932" s="81" t="s">
        <v>382</v>
      </c>
      <c r="AJ932" s="81" t="s">
        <v>103</v>
      </c>
      <c r="AK932" s="81">
        <v>1972</v>
      </c>
      <c r="AL932" s="81" t="s">
        <v>104</v>
      </c>
      <c r="AM932" s="81"/>
    </row>
    <row r="933" spans="1:39" x14ac:dyDescent="0.3">
      <c r="A933" s="1">
        <v>28</v>
      </c>
      <c r="B933" s="2">
        <v>58</v>
      </c>
      <c r="D933" s="68">
        <v>0</v>
      </c>
      <c r="E933" s="68"/>
      <c r="F933" s="68"/>
      <c r="H933" s="68">
        <v>60</v>
      </c>
      <c r="I933" s="69">
        <v>3.6</v>
      </c>
      <c r="J933" s="69"/>
      <c r="K933" s="70">
        <v>1</v>
      </c>
      <c r="L933" s="2">
        <v>60</v>
      </c>
      <c r="N933" s="6">
        <v>6</v>
      </c>
      <c r="O933" s="17">
        <v>60</v>
      </c>
      <c r="P933" s="7">
        <v>0.625</v>
      </c>
      <c r="Q933" s="84">
        <v>0</v>
      </c>
      <c r="R933" s="74">
        <v>3.6</v>
      </c>
      <c r="S933" s="74"/>
      <c r="T933" s="9">
        <f>LOG(13.1)/LOG(2)</f>
        <v>3.711494906650088</v>
      </c>
      <c r="W933" s="10">
        <v>0.64200000000000002</v>
      </c>
      <c r="X933" s="11">
        <v>102</v>
      </c>
      <c r="Y933" s="12">
        <v>0.4</v>
      </c>
      <c r="AI933" s="81" t="s">
        <v>383</v>
      </c>
      <c r="AJ933" s="81" t="s">
        <v>103</v>
      </c>
      <c r="AK933" s="81">
        <v>1972</v>
      </c>
      <c r="AL933" s="81" t="s">
        <v>104</v>
      </c>
      <c r="AM933" s="81"/>
    </row>
    <row r="934" spans="1:39" x14ac:dyDescent="0.3">
      <c r="A934" s="1">
        <v>28</v>
      </c>
      <c r="B934" s="2">
        <v>58</v>
      </c>
      <c r="D934" s="68">
        <v>0</v>
      </c>
      <c r="E934" s="68"/>
      <c r="F934" s="68"/>
      <c r="H934" s="68">
        <v>60</v>
      </c>
      <c r="I934" s="69">
        <v>3.6</v>
      </c>
      <c r="J934" s="69"/>
      <c r="K934" s="70">
        <v>1</v>
      </c>
      <c r="L934" s="2">
        <v>102</v>
      </c>
      <c r="N934" s="6">
        <v>6</v>
      </c>
      <c r="O934" s="17">
        <v>102</v>
      </c>
      <c r="Q934" s="84">
        <v>0</v>
      </c>
      <c r="R934" s="74"/>
      <c r="S934" s="74"/>
      <c r="T934" s="9">
        <f>LOG(40.6)/LOG(2)</f>
        <v>5.3434078222978139</v>
      </c>
      <c r="W934" s="10">
        <v>0.80600000000000005</v>
      </c>
      <c r="X934" s="11">
        <v>144</v>
      </c>
      <c r="Y934" s="12">
        <v>0.33300000000000002</v>
      </c>
      <c r="AI934" s="81" t="s">
        <v>383</v>
      </c>
      <c r="AJ934" s="81" t="s">
        <v>103</v>
      </c>
      <c r="AK934" s="81">
        <v>1972</v>
      </c>
      <c r="AL934" s="81" t="s">
        <v>104</v>
      </c>
      <c r="AM934" s="81"/>
    </row>
    <row r="935" spans="1:39" x14ac:dyDescent="0.3">
      <c r="A935" s="1">
        <v>28</v>
      </c>
      <c r="B935" s="2">
        <v>58</v>
      </c>
      <c r="D935" s="68">
        <v>0</v>
      </c>
      <c r="E935" s="68"/>
      <c r="F935" s="68"/>
      <c r="H935" s="68">
        <v>60</v>
      </c>
      <c r="I935" s="69">
        <v>3.6</v>
      </c>
      <c r="J935" s="69"/>
      <c r="K935" s="70">
        <v>1</v>
      </c>
      <c r="L935" s="68">
        <v>144</v>
      </c>
      <c r="N935" s="6">
        <v>6</v>
      </c>
      <c r="O935" s="17">
        <v>144</v>
      </c>
      <c r="Q935" s="84">
        <v>0</v>
      </c>
      <c r="R935" s="74"/>
      <c r="S935" s="74"/>
      <c r="T935" s="9">
        <f>LOG(70.6)/LOG(2)</f>
        <v>6.1415962783838181</v>
      </c>
      <c r="W935" s="10">
        <v>0.86299999999999999</v>
      </c>
      <c r="X935" s="11">
        <v>204</v>
      </c>
      <c r="Y935" s="12">
        <v>6.7000000000000004E-2</v>
      </c>
      <c r="AI935" s="81" t="s">
        <v>383</v>
      </c>
      <c r="AJ935" s="81" t="s">
        <v>103</v>
      </c>
      <c r="AK935" s="81">
        <v>1972</v>
      </c>
      <c r="AL935" s="81" t="s">
        <v>104</v>
      </c>
      <c r="AM935" s="81"/>
    </row>
    <row r="936" spans="1:39" x14ac:dyDescent="0.3">
      <c r="A936" s="1">
        <v>28</v>
      </c>
      <c r="B936" s="2">
        <v>51</v>
      </c>
      <c r="D936" s="68">
        <v>0</v>
      </c>
      <c r="E936" s="68"/>
      <c r="F936" s="68"/>
      <c r="H936" s="68">
        <v>60</v>
      </c>
      <c r="I936" s="69">
        <v>3.6</v>
      </c>
      <c r="J936" s="69"/>
      <c r="K936" s="70">
        <v>1</v>
      </c>
      <c r="L936" s="68">
        <v>60</v>
      </c>
      <c r="N936" s="6">
        <v>6</v>
      </c>
      <c r="O936" s="17">
        <v>60</v>
      </c>
      <c r="P936" s="7">
        <v>0.6</v>
      </c>
      <c r="Q936" s="84">
        <v>0</v>
      </c>
      <c r="R936" s="74">
        <v>3.6</v>
      </c>
      <c r="S936" s="74"/>
      <c r="T936" s="9">
        <f>LOG(24)/LOG(2)</f>
        <v>4.5849625007211561</v>
      </c>
      <c r="W936" s="10">
        <v>0.81200000000000006</v>
      </c>
      <c r="X936" s="11">
        <v>102</v>
      </c>
      <c r="Y936" s="12">
        <v>0.4</v>
      </c>
      <c r="AI936" s="81" t="s">
        <v>380</v>
      </c>
      <c r="AJ936" s="81" t="s">
        <v>103</v>
      </c>
      <c r="AK936" s="81">
        <v>1972</v>
      </c>
      <c r="AL936" s="81" t="s">
        <v>104</v>
      </c>
      <c r="AM936" s="81"/>
    </row>
    <row r="937" spans="1:39" x14ac:dyDescent="0.3">
      <c r="A937" s="1">
        <v>28</v>
      </c>
      <c r="B937" s="2">
        <v>51</v>
      </c>
      <c r="D937" s="68">
        <v>0</v>
      </c>
      <c r="E937" s="68"/>
      <c r="F937" s="68"/>
      <c r="H937" s="68">
        <v>60</v>
      </c>
      <c r="I937" s="69">
        <v>3.6</v>
      </c>
      <c r="J937" s="69"/>
      <c r="K937" s="70">
        <v>1</v>
      </c>
      <c r="L937" s="68">
        <v>102</v>
      </c>
      <c r="N937" s="6">
        <v>6</v>
      </c>
      <c r="O937" s="17">
        <v>102</v>
      </c>
      <c r="Q937" s="84">
        <v>0</v>
      </c>
      <c r="R937" s="74"/>
      <c r="S937" s="74"/>
      <c r="T937" s="9">
        <f>LOG(26.2)/LOG(2)</f>
        <v>4.7114949066500875</v>
      </c>
      <c r="W937" s="10">
        <v>0.85699999999999998</v>
      </c>
      <c r="X937" s="11">
        <v>144</v>
      </c>
      <c r="Y937" s="12">
        <v>0.48799999999999999</v>
      </c>
      <c r="AI937" s="81" t="s">
        <v>380</v>
      </c>
      <c r="AJ937" s="81" t="s">
        <v>103</v>
      </c>
      <c r="AK937" s="81">
        <v>1972</v>
      </c>
      <c r="AL937" s="81" t="s">
        <v>104</v>
      </c>
      <c r="AM937" s="81"/>
    </row>
    <row r="938" spans="1:39" x14ac:dyDescent="0.3">
      <c r="A938" s="1">
        <v>28</v>
      </c>
      <c r="B938" s="2">
        <v>51</v>
      </c>
      <c r="D938" s="68">
        <v>0</v>
      </c>
      <c r="E938" s="68"/>
      <c r="F938" s="68"/>
      <c r="H938" s="68">
        <v>60</v>
      </c>
      <c r="I938" s="69">
        <v>3.6</v>
      </c>
      <c r="J938" s="69"/>
      <c r="K938" s="70">
        <v>1</v>
      </c>
      <c r="L938" s="68">
        <v>144</v>
      </c>
      <c r="N938" s="6">
        <v>6</v>
      </c>
      <c r="O938" s="17">
        <v>144</v>
      </c>
      <c r="Q938" s="84">
        <v>0</v>
      </c>
      <c r="R938" s="74"/>
      <c r="S938" s="74"/>
      <c r="T938" s="9">
        <f>LOG(152)/LOG(2)</f>
        <v>7.2479275134435861</v>
      </c>
      <c r="W938" s="10">
        <v>1</v>
      </c>
      <c r="X938" s="11">
        <v>204</v>
      </c>
      <c r="Y938" s="12">
        <v>0.14599999999999999</v>
      </c>
      <c r="AI938" s="81" t="s">
        <v>380</v>
      </c>
      <c r="AJ938" s="81" t="s">
        <v>103</v>
      </c>
      <c r="AK938" s="81">
        <v>1972</v>
      </c>
      <c r="AL938" s="81" t="s">
        <v>104</v>
      </c>
      <c r="AM938" s="81"/>
    </row>
    <row r="939" spans="1:39" x14ac:dyDescent="0.3">
      <c r="A939" s="1">
        <v>38</v>
      </c>
      <c r="B939" s="2">
        <v>66</v>
      </c>
      <c r="D939" s="68">
        <v>0</v>
      </c>
      <c r="E939" s="68"/>
      <c r="F939" s="68"/>
      <c r="H939" s="68">
        <v>60</v>
      </c>
      <c r="I939" s="69">
        <v>3.1</v>
      </c>
      <c r="J939" s="69"/>
      <c r="K939" s="70">
        <v>1</v>
      </c>
      <c r="L939" s="68">
        <v>60</v>
      </c>
      <c r="N939" s="6">
        <v>6</v>
      </c>
      <c r="O939" s="17">
        <v>60</v>
      </c>
      <c r="P939" s="7">
        <v>0.36399999999999999</v>
      </c>
      <c r="Q939" s="84">
        <v>0</v>
      </c>
      <c r="R939" s="74">
        <v>3.1</v>
      </c>
      <c r="S939" s="74"/>
      <c r="T939" s="9">
        <f>LOG(15.2)/LOG(2)</f>
        <v>3.9259994185562235</v>
      </c>
      <c r="W939" s="10">
        <v>0.67100000000000004</v>
      </c>
      <c r="X939" s="11">
        <v>102</v>
      </c>
      <c r="Y939" s="12">
        <v>0.51600000000000001</v>
      </c>
      <c r="AI939" s="81" t="s">
        <v>381</v>
      </c>
      <c r="AJ939" s="81" t="s">
        <v>103</v>
      </c>
      <c r="AK939" s="81">
        <v>1972</v>
      </c>
      <c r="AL939" s="81" t="s">
        <v>104</v>
      </c>
      <c r="AM939" s="81"/>
    </row>
    <row r="940" spans="1:39" x14ac:dyDescent="0.3">
      <c r="A940" s="1">
        <v>38</v>
      </c>
      <c r="B940" s="2">
        <v>66</v>
      </c>
      <c r="D940" s="68">
        <v>0</v>
      </c>
      <c r="E940" s="68"/>
      <c r="F940" s="68"/>
      <c r="H940" s="68">
        <v>60</v>
      </c>
      <c r="I940" s="69">
        <v>3.1</v>
      </c>
      <c r="J940" s="69"/>
      <c r="K940" s="70">
        <v>1</v>
      </c>
      <c r="L940" s="68">
        <v>102</v>
      </c>
      <c r="N940" s="6">
        <v>6</v>
      </c>
      <c r="O940" s="17">
        <v>102</v>
      </c>
      <c r="Q940" s="84">
        <v>0</v>
      </c>
      <c r="R940" s="74"/>
      <c r="S940" s="74"/>
      <c r="T940" s="9">
        <f>LOG(46)/LOG(2)</f>
        <v>5.5235619560570131</v>
      </c>
      <c r="W940" s="10">
        <v>0.92500000000000004</v>
      </c>
      <c r="X940" s="11">
        <v>144</v>
      </c>
      <c r="Y940" s="12">
        <v>0.45100000000000001</v>
      </c>
      <c r="AI940" s="81" t="s">
        <v>381</v>
      </c>
      <c r="AJ940" s="81" t="s">
        <v>103</v>
      </c>
      <c r="AK940" s="81">
        <v>1972</v>
      </c>
      <c r="AL940" s="81" t="s">
        <v>104</v>
      </c>
      <c r="AM940" s="81"/>
    </row>
    <row r="941" spans="1:39" x14ac:dyDescent="0.3">
      <c r="A941" s="1">
        <v>38</v>
      </c>
      <c r="B941" s="2">
        <v>66</v>
      </c>
      <c r="D941" s="68">
        <v>0</v>
      </c>
      <c r="E941" s="68"/>
      <c r="F941" s="68"/>
      <c r="H941" s="68">
        <v>60</v>
      </c>
      <c r="I941" s="69">
        <v>3.1</v>
      </c>
      <c r="J941" s="69"/>
      <c r="K941" s="70">
        <v>1</v>
      </c>
      <c r="L941" s="68">
        <v>144</v>
      </c>
      <c r="N941" s="6">
        <v>6</v>
      </c>
      <c r="O941" s="17">
        <v>144</v>
      </c>
      <c r="Q941" s="84">
        <v>0</v>
      </c>
      <c r="R941" s="74"/>
      <c r="S941" s="74"/>
      <c r="T941" s="9">
        <f>LOG(115)/LOG(2)</f>
        <v>6.8454900509443757</v>
      </c>
      <c r="W941" s="10">
        <v>1</v>
      </c>
      <c r="X941" s="11">
        <v>204</v>
      </c>
      <c r="Y941" s="12">
        <v>5.2999999999999999E-2</v>
      </c>
      <c r="AI941" s="81" t="s">
        <v>381</v>
      </c>
      <c r="AJ941" s="81" t="s">
        <v>103</v>
      </c>
      <c r="AK941" s="81">
        <v>1972</v>
      </c>
      <c r="AL941" s="81" t="s">
        <v>104</v>
      </c>
      <c r="AM941" s="81"/>
    </row>
    <row r="942" spans="1:39" x14ac:dyDescent="0.3">
      <c r="A942" s="1">
        <v>27</v>
      </c>
      <c r="B942" s="2">
        <v>51</v>
      </c>
      <c r="D942" s="68">
        <v>0</v>
      </c>
      <c r="E942" s="68"/>
      <c r="F942" s="68"/>
      <c r="H942" s="68">
        <v>60</v>
      </c>
      <c r="I942" s="69">
        <v>3.9</v>
      </c>
      <c r="J942" s="69"/>
      <c r="K942" s="70">
        <v>2</v>
      </c>
      <c r="L942" s="68">
        <v>60</v>
      </c>
      <c r="N942" s="6">
        <v>5</v>
      </c>
      <c r="O942" s="17">
        <v>60</v>
      </c>
      <c r="P942" s="7">
        <v>0.75</v>
      </c>
      <c r="Q942" s="84">
        <v>0</v>
      </c>
      <c r="R942" s="74">
        <v>3.9</v>
      </c>
      <c r="S942" s="74"/>
      <c r="X942" s="11">
        <v>102</v>
      </c>
      <c r="Y942" s="12">
        <v>0.61499999999999999</v>
      </c>
      <c r="AI942" s="81" t="s">
        <v>382</v>
      </c>
      <c r="AJ942" s="81" t="s">
        <v>103</v>
      </c>
      <c r="AK942" s="81">
        <v>1972</v>
      </c>
      <c r="AL942" s="81" t="s">
        <v>104</v>
      </c>
      <c r="AM942" s="81"/>
    </row>
    <row r="943" spans="1:39" x14ac:dyDescent="0.3">
      <c r="A943" s="1">
        <v>27</v>
      </c>
      <c r="B943" s="2">
        <v>51</v>
      </c>
      <c r="D943" s="68">
        <v>0</v>
      </c>
      <c r="E943" s="68"/>
      <c r="F943" s="68"/>
      <c r="H943" s="68">
        <v>60</v>
      </c>
      <c r="I943" s="69">
        <v>3.9</v>
      </c>
      <c r="J943" s="69"/>
      <c r="K943" s="70">
        <v>2</v>
      </c>
      <c r="L943" s="68">
        <v>102</v>
      </c>
      <c r="N943" s="6">
        <v>5</v>
      </c>
      <c r="O943" s="17">
        <v>102</v>
      </c>
      <c r="Q943" s="84">
        <v>0</v>
      </c>
      <c r="R943" s="74"/>
      <c r="S943" s="74"/>
      <c r="X943" s="11">
        <v>144</v>
      </c>
      <c r="Y943" s="12">
        <v>0.153</v>
      </c>
      <c r="AI943" s="81" t="s">
        <v>382</v>
      </c>
      <c r="AJ943" s="81" t="s">
        <v>103</v>
      </c>
      <c r="AK943" s="81">
        <v>1972</v>
      </c>
      <c r="AL943" s="81" t="s">
        <v>104</v>
      </c>
      <c r="AM943" s="81"/>
    </row>
    <row r="944" spans="1:39" x14ac:dyDescent="0.3">
      <c r="A944" s="1">
        <v>27</v>
      </c>
      <c r="B944" s="2">
        <v>51</v>
      </c>
      <c r="D944" s="68">
        <v>0</v>
      </c>
      <c r="E944" s="68"/>
      <c r="F944" s="68"/>
      <c r="H944" s="68">
        <v>60</v>
      </c>
      <c r="I944" s="3">
        <v>3.9</v>
      </c>
      <c r="K944" s="70">
        <v>2</v>
      </c>
      <c r="L944" s="68">
        <v>144</v>
      </c>
      <c r="N944" s="6">
        <v>5</v>
      </c>
      <c r="O944" s="17">
        <v>144</v>
      </c>
      <c r="Q944" s="84">
        <v>0</v>
      </c>
      <c r="R944" s="74"/>
      <c r="S944" s="74"/>
      <c r="T944" s="9">
        <f>LOG(144.9)/LOG(2)</f>
        <v>7.1789137846695672</v>
      </c>
      <c r="W944" s="10">
        <v>1</v>
      </c>
      <c r="X944" s="11">
        <v>204</v>
      </c>
      <c r="Y944" s="12">
        <v>0.153</v>
      </c>
      <c r="AI944" s="81" t="s">
        <v>382</v>
      </c>
      <c r="AJ944" s="81" t="s">
        <v>103</v>
      </c>
      <c r="AK944" s="81">
        <v>1972</v>
      </c>
      <c r="AL944" s="81" t="s">
        <v>104</v>
      </c>
      <c r="AM944" s="81"/>
    </row>
    <row r="945" spans="1:39" x14ac:dyDescent="0.3">
      <c r="A945" s="1">
        <v>28</v>
      </c>
      <c r="B945" s="2">
        <v>58</v>
      </c>
      <c r="D945" s="68">
        <v>0</v>
      </c>
      <c r="E945" s="68"/>
      <c r="F945" s="68"/>
      <c r="H945" s="68">
        <v>60</v>
      </c>
      <c r="I945" s="69">
        <v>3.8</v>
      </c>
      <c r="J945" s="69"/>
      <c r="K945" s="70">
        <v>2</v>
      </c>
      <c r="L945" s="68">
        <v>60</v>
      </c>
      <c r="N945" s="6">
        <v>5</v>
      </c>
      <c r="O945" s="17">
        <v>60</v>
      </c>
      <c r="P945" s="7">
        <v>0.66600000000000004</v>
      </c>
      <c r="Q945" s="84">
        <v>0</v>
      </c>
      <c r="R945" s="74">
        <v>3.8</v>
      </c>
      <c r="S945" s="74"/>
      <c r="X945" s="11">
        <v>102</v>
      </c>
      <c r="Y945" s="12">
        <v>0.80200000000000005</v>
      </c>
      <c r="AI945" s="81" t="s">
        <v>383</v>
      </c>
      <c r="AJ945" s="81" t="s">
        <v>103</v>
      </c>
      <c r="AK945" s="81">
        <v>1972</v>
      </c>
      <c r="AL945" s="81" t="s">
        <v>104</v>
      </c>
      <c r="AM945" s="81"/>
    </row>
    <row r="946" spans="1:39" x14ac:dyDescent="0.3">
      <c r="A946" s="1">
        <v>28</v>
      </c>
      <c r="B946" s="2">
        <v>58</v>
      </c>
      <c r="D946" s="68">
        <v>0</v>
      </c>
      <c r="E946" s="68"/>
      <c r="F946" s="68"/>
      <c r="H946" s="68">
        <v>60</v>
      </c>
      <c r="I946" s="69">
        <v>3.8</v>
      </c>
      <c r="J946" s="69"/>
      <c r="K946" s="70">
        <v>2</v>
      </c>
      <c r="L946" s="68">
        <v>102</v>
      </c>
      <c r="N946" s="6">
        <v>5</v>
      </c>
      <c r="O946" s="17">
        <v>102</v>
      </c>
      <c r="Q946" s="84">
        <v>0</v>
      </c>
      <c r="R946" s="74"/>
      <c r="S946" s="74"/>
      <c r="X946" s="11">
        <v>144</v>
      </c>
      <c r="Y946" s="12">
        <v>0.13300000000000001</v>
      </c>
      <c r="AI946" s="81" t="s">
        <v>383</v>
      </c>
      <c r="AJ946" s="81" t="s">
        <v>103</v>
      </c>
      <c r="AK946" s="81">
        <v>1972</v>
      </c>
      <c r="AL946" s="81" t="s">
        <v>104</v>
      </c>
      <c r="AM946" s="81"/>
    </row>
    <row r="947" spans="1:39" x14ac:dyDescent="0.3">
      <c r="A947" s="1">
        <v>28</v>
      </c>
      <c r="B947" s="2">
        <v>58</v>
      </c>
      <c r="D947" s="68">
        <v>0</v>
      </c>
      <c r="E947" s="68"/>
      <c r="F947" s="68"/>
      <c r="H947" s="68">
        <v>60</v>
      </c>
      <c r="I947" s="69">
        <v>3.8</v>
      </c>
      <c r="J947" s="69"/>
      <c r="K947" s="70">
        <v>2</v>
      </c>
      <c r="L947" s="68">
        <v>144</v>
      </c>
      <c r="N947" s="6">
        <v>5</v>
      </c>
      <c r="O947" s="17">
        <v>144</v>
      </c>
      <c r="Q947" s="84">
        <v>0</v>
      </c>
      <c r="R947" s="74"/>
      <c r="S947" s="74"/>
      <c r="T947" s="9">
        <f>LOG(105.1)/LOG(2)</f>
        <v>6.7156188590748158</v>
      </c>
      <c r="W947" s="10">
        <v>0.95399999999999996</v>
      </c>
      <c r="X947" s="11">
        <v>204</v>
      </c>
      <c r="Y947" s="12">
        <v>6.7000000000000004E-2</v>
      </c>
      <c r="AI947" s="81" t="s">
        <v>383</v>
      </c>
      <c r="AJ947" s="81" t="s">
        <v>103</v>
      </c>
      <c r="AK947" s="81">
        <v>1972</v>
      </c>
      <c r="AL947" s="81" t="s">
        <v>104</v>
      </c>
      <c r="AM947" s="81"/>
    </row>
    <row r="948" spans="1:39" x14ac:dyDescent="0.3">
      <c r="A948" s="1">
        <v>28</v>
      </c>
      <c r="B948" s="2">
        <v>51</v>
      </c>
      <c r="D948" s="68">
        <v>0</v>
      </c>
      <c r="E948" s="68"/>
      <c r="F948" s="68"/>
      <c r="H948" s="68">
        <v>60</v>
      </c>
      <c r="I948" s="69">
        <v>4</v>
      </c>
      <c r="J948" s="69"/>
      <c r="K948" s="70">
        <v>2</v>
      </c>
      <c r="L948" s="68">
        <v>60</v>
      </c>
      <c r="N948" s="6">
        <v>5</v>
      </c>
      <c r="O948" s="17">
        <v>60</v>
      </c>
      <c r="P948" s="7">
        <v>0.7</v>
      </c>
      <c r="Q948" s="84">
        <v>0</v>
      </c>
      <c r="R948" s="74">
        <v>4</v>
      </c>
      <c r="S948" s="74"/>
      <c r="X948" s="11">
        <v>102</v>
      </c>
      <c r="Y948" s="12">
        <v>0.77700000000000002</v>
      </c>
      <c r="AI948" s="81" t="s">
        <v>380</v>
      </c>
      <c r="AJ948" s="81" t="s">
        <v>103</v>
      </c>
      <c r="AK948" s="81">
        <v>1972</v>
      </c>
      <c r="AL948" s="81" t="s">
        <v>104</v>
      </c>
      <c r="AM948" s="81"/>
    </row>
    <row r="949" spans="1:39" x14ac:dyDescent="0.3">
      <c r="A949" s="1">
        <v>28</v>
      </c>
      <c r="B949" s="2">
        <v>51</v>
      </c>
      <c r="D949" s="68">
        <v>0</v>
      </c>
      <c r="E949" s="68"/>
      <c r="F949" s="68"/>
      <c r="H949" s="68">
        <v>60</v>
      </c>
      <c r="I949" s="69">
        <v>4</v>
      </c>
      <c r="J949" s="69"/>
      <c r="K949" s="70">
        <v>2</v>
      </c>
      <c r="L949" s="68">
        <v>102</v>
      </c>
      <c r="N949" s="6">
        <v>5</v>
      </c>
      <c r="O949" s="17">
        <v>102</v>
      </c>
      <c r="Q949" s="84">
        <v>0</v>
      </c>
      <c r="R949" s="74"/>
      <c r="S949" s="74"/>
      <c r="X949" s="11">
        <v>144</v>
      </c>
      <c r="Y949" s="12">
        <v>9.2999999999999999E-2</v>
      </c>
      <c r="AI949" s="81" t="s">
        <v>380</v>
      </c>
      <c r="AJ949" s="81" t="s">
        <v>103</v>
      </c>
      <c r="AK949" s="81">
        <v>1972</v>
      </c>
      <c r="AL949" s="81" t="s">
        <v>104</v>
      </c>
      <c r="AM949" s="81"/>
    </row>
    <row r="950" spans="1:39" x14ac:dyDescent="0.3">
      <c r="A950" s="1">
        <v>28</v>
      </c>
      <c r="B950" s="2">
        <v>51</v>
      </c>
      <c r="D950" s="68">
        <v>0</v>
      </c>
      <c r="E950" s="68"/>
      <c r="F950" s="68"/>
      <c r="H950" s="68">
        <v>60</v>
      </c>
      <c r="I950" s="69">
        <v>4</v>
      </c>
      <c r="J950" s="69"/>
      <c r="K950" s="70">
        <v>2</v>
      </c>
      <c r="L950" s="68">
        <v>144</v>
      </c>
      <c r="N950" s="6">
        <v>5</v>
      </c>
      <c r="O950" s="17">
        <v>144</v>
      </c>
      <c r="Q950" s="84">
        <v>0</v>
      </c>
      <c r="R950" s="74"/>
      <c r="S950" s="74"/>
      <c r="T950" s="9">
        <f>LOG(144.9)/LOG(2)</f>
        <v>7.1789137846695672</v>
      </c>
      <c r="W950" s="10">
        <v>1</v>
      </c>
      <c r="X950" s="11">
        <v>204</v>
      </c>
      <c r="Y950" s="12">
        <v>4.8000000000000001E-2</v>
      </c>
      <c r="AI950" s="81" t="s">
        <v>380</v>
      </c>
      <c r="AJ950" s="81" t="s">
        <v>103</v>
      </c>
      <c r="AK950" s="81">
        <v>1972</v>
      </c>
      <c r="AL950" s="81" t="s">
        <v>104</v>
      </c>
      <c r="AM950" s="81"/>
    </row>
    <row r="951" spans="1:39" x14ac:dyDescent="0.3">
      <c r="A951" s="1">
        <v>38</v>
      </c>
      <c r="B951" s="2">
        <v>66</v>
      </c>
      <c r="D951" s="68">
        <v>0</v>
      </c>
      <c r="E951" s="68"/>
      <c r="F951" s="68"/>
      <c r="H951" s="68">
        <v>60</v>
      </c>
      <c r="I951" s="3">
        <v>3.5</v>
      </c>
      <c r="K951" s="70">
        <v>2</v>
      </c>
      <c r="L951" s="68">
        <v>60</v>
      </c>
      <c r="N951" s="6">
        <v>5</v>
      </c>
      <c r="O951" s="17">
        <v>60</v>
      </c>
      <c r="P951" s="7">
        <v>0.63600000000000001</v>
      </c>
      <c r="Q951" s="84">
        <v>0</v>
      </c>
      <c r="R951" s="74">
        <v>3.5</v>
      </c>
      <c r="S951" s="74"/>
      <c r="X951" s="11">
        <v>102</v>
      </c>
      <c r="Y951" s="12">
        <v>0.85399999999999998</v>
      </c>
      <c r="AI951" s="81" t="s">
        <v>381</v>
      </c>
      <c r="AJ951" s="81" t="s">
        <v>103</v>
      </c>
      <c r="AK951" s="81">
        <v>1972</v>
      </c>
      <c r="AL951" s="81" t="s">
        <v>104</v>
      </c>
      <c r="AM951" s="81"/>
    </row>
    <row r="952" spans="1:39" x14ac:dyDescent="0.3">
      <c r="A952" s="1">
        <v>38</v>
      </c>
      <c r="B952" s="2">
        <v>66</v>
      </c>
      <c r="D952" s="68">
        <v>0</v>
      </c>
      <c r="E952" s="68"/>
      <c r="F952" s="68"/>
      <c r="H952" s="68">
        <v>60</v>
      </c>
      <c r="I952" s="69">
        <v>3.5</v>
      </c>
      <c r="J952" s="69"/>
      <c r="K952" s="70">
        <v>2</v>
      </c>
      <c r="L952" s="68">
        <v>102</v>
      </c>
      <c r="N952" s="6">
        <v>5</v>
      </c>
      <c r="O952" s="17">
        <v>102</v>
      </c>
      <c r="Q952" s="84">
        <v>0</v>
      </c>
      <c r="R952" s="74"/>
      <c r="S952" s="74"/>
      <c r="X952" s="11">
        <v>144</v>
      </c>
      <c r="Y952" s="12">
        <v>9.8000000000000004E-2</v>
      </c>
      <c r="AI952" s="81" t="s">
        <v>381</v>
      </c>
      <c r="AJ952" s="81" t="s">
        <v>103</v>
      </c>
      <c r="AK952" s="81">
        <v>1972</v>
      </c>
      <c r="AL952" s="81" t="s">
        <v>104</v>
      </c>
      <c r="AM952" s="81"/>
    </row>
    <row r="953" spans="1:39" x14ac:dyDescent="0.3">
      <c r="A953" s="1">
        <v>38</v>
      </c>
      <c r="B953" s="2">
        <v>66</v>
      </c>
      <c r="D953" s="68">
        <v>0</v>
      </c>
      <c r="E953" s="68"/>
      <c r="F953" s="68"/>
      <c r="H953" s="68">
        <v>60</v>
      </c>
      <c r="I953" s="69">
        <v>3.5</v>
      </c>
      <c r="J953" s="69"/>
      <c r="K953" s="70">
        <v>2</v>
      </c>
      <c r="L953" s="68">
        <v>144</v>
      </c>
      <c r="N953" s="6">
        <v>5</v>
      </c>
      <c r="O953" s="17">
        <v>144</v>
      </c>
      <c r="Q953" s="84">
        <v>0</v>
      </c>
      <c r="R953" s="74"/>
      <c r="S953" s="74"/>
      <c r="T953" s="9">
        <f>LOG(142.9)/LOG(2)</f>
        <v>7.1588621062084545</v>
      </c>
      <c r="W953" s="10">
        <v>1</v>
      </c>
      <c r="X953" s="11">
        <v>204</v>
      </c>
      <c r="Y953" s="12">
        <v>3.5000000000000003E-2</v>
      </c>
      <c r="AI953" s="81" t="s">
        <v>381</v>
      </c>
      <c r="AJ953" s="81" t="s">
        <v>103</v>
      </c>
      <c r="AK953" s="81">
        <v>1972</v>
      </c>
      <c r="AL953" s="81" t="s">
        <v>104</v>
      </c>
      <c r="AM953" s="81"/>
    </row>
    <row r="954" spans="1:39" x14ac:dyDescent="0.3">
      <c r="A954" s="1">
        <v>27</v>
      </c>
      <c r="B954" s="2">
        <v>51</v>
      </c>
      <c r="D954" s="68">
        <v>0</v>
      </c>
      <c r="E954" s="68"/>
      <c r="F954" s="68"/>
      <c r="H954" s="68">
        <v>60</v>
      </c>
      <c r="I954" s="69">
        <v>2.8</v>
      </c>
      <c r="J954" s="69"/>
      <c r="K954" s="70">
        <v>3</v>
      </c>
      <c r="L954" s="68">
        <v>60</v>
      </c>
      <c r="N954" s="6">
        <v>5.5</v>
      </c>
      <c r="O954" s="17">
        <v>60</v>
      </c>
      <c r="P954" s="7">
        <v>0.35</v>
      </c>
      <c r="Q954" s="84">
        <v>0</v>
      </c>
      <c r="R954" s="74">
        <v>2.8</v>
      </c>
      <c r="S954" s="74"/>
      <c r="X954" s="11">
        <v>102</v>
      </c>
      <c r="Y954" s="12">
        <v>0.53800000000000003</v>
      </c>
      <c r="AI954" s="81" t="s">
        <v>382</v>
      </c>
      <c r="AJ954" s="81" t="s">
        <v>103</v>
      </c>
      <c r="AK954" s="81">
        <v>1972</v>
      </c>
      <c r="AL954" s="81" t="s">
        <v>104</v>
      </c>
      <c r="AM954" s="81"/>
    </row>
    <row r="955" spans="1:39" x14ac:dyDescent="0.3">
      <c r="A955" s="1">
        <v>27</v>
      </c>
      <c r="B955" s="2">
        <v>51</v>
      </c>
      <c r="D955" s="68">
        <v>0</v>
      </c>
      <c r="E955" s="68"/>
      <c r="F955" s="68"/>
      <c r="H955" s="68">
        <v>60</v>
      </c>
      <c r="I955" s="69">
        <v>2.8</v>
      </c>
      <c r="J955" s="69"/>
      <c r="K955" s="70">
        <v>3</v>
      </c>
      <c r="L955" s="68">
        <v>102</v>
      </c>
      <c r="N955" s="6">
        <v>5.5</v>
      </c>
      <c r="O955" s="17">
        <v>102</v>
      </c>
      <c r="Q955" s="84">
        <v>0</v>
      </c>
      <c r="R955" s="74"/>
      <c r="S955" s="74"/>
      <c r="X955" s="11">
        <v>144</v>
      </c>
      <c r="Y955" s="12">
        <v>0.307</v>
      </c>
      <c r="AI955" s="81" t="s">
        <v>382</v>
      </c>
      <c r="AJ955" s="81" t="s">
        <v>103</v>
      </c>
      <c r="AK955" s="81">
        <v>1972</v>
      </c>
      <c r="AL955" s="81" t="s">
        <v>104</v>
      </c>
      <c r="AM955" s="81"/>
    </row>
    <row r="956" spans="1:39" x14ac:dyDescent="0.3">
      <c r="A956" s="1">
        <v>27</v>
      </c>
      <c r="B956" s="2">
        <v>51</v>
      </c>
      <c r="D956" s="68">
        <v>0</v>
      </c>
      <c r="E956" s="68"/>
      <c r="F956" s="68"/>
      <c r="H956" s="68">
        <v>60</v>
      </c>
      <c r="I956" s="69">
        <v>2.8</v>
      </c>
      <c r="J956" s="69"/>
      <c r="K956" s="70">
        <v>3</v>
      </c>
      <c r="L956" s="68">
        <v>144</v>
      </c>
      <c r="N956" s="6">
        <v>5.5</v>
      </c>
      <c r="O956" s="17">
        <v>144</v>
      </c>
      <c r="Q956" s="84">
        <v>0</v>
      </c>
      <c r="R956" s="74"/>
      <c r="S956" s="74"/>
      <c r="T956" s="9">
        <f>LOG(82.7)/LOG(2)</f>
        <v>6.369815424283912</v>
      </c>
      <c r="W956" s="10">
        <v>0.92800000000000005</v>
      </c>
      <c r="X956" s="11">
        <v>204</v>
      </c>
      <c r="Y956" s="12">
        <v>7.6999999999999999E-2</v>
      </c>
      <c r="AI956" s="81" t="s">
        <v>382</v>
      </c>
      <c r="AJ956" s="81" t="s">
        <v>103</v>
      </c>
      <c r="AK956" s="81">
        <v>1972</v>
      </c>
      <c r="AL956" s="81" t="s">
        <v>104</v>
      </c>
      <c r="AM956" s="81"/>
    </row>
    <row r="957" spans="1:39" x14ac:dyDescent="0.3">
      <c r="A957" s="1">
        <v>28</v>
      </c>
      <c r="B957" s="2">
        <v>58</v>
      </c>
      <c r="D957" s="68">
        <v>0</v>
      </c>
      <c r="E957" s="68"/>
      <c r="F957" s="68"/>
      <c r="H957" s="68">
        <v>60</v>
      </c>
      <c r="I957" s="3">
        <v>3.2</v>
      </c>
      <c r="K957" s="70">
        <v>3</v>
      </c>
      <c r="L957" s="68">
        <v>60</v>
      </c>
      <c r="N957" s="6">
        <v>5.5</v>
      </c>
      <c r="O957" s="17">
        <v>60</v>
      </c>
      <c r="P957" s="7">
        <v>0.309</v>
      </c>
      <c r="Q957" s="84">
        <v>0</v>
      </c>
      <c r="R957" s="74">
        <v>3.2</v>
      </c>
      <c r="S957" s="74"/>
      <c r="X957" s="11">
        <v>102</v>
      </c>
      <c r="Y957" s="12">
        <v>0.4</v>
      </c>
      <c r="AI957" s="81" t="s">
        <v>383</v>
      </c>
      <c r="AJ957" s="81" t="s">
        <v>103</v>
      </c>
      <c r="AK957" s="81">
        <v>1972</v>
      </c>
      <c r="AL957" s="81" t="s">
        <v>104</v>
      </c>
      <c r="AM957" s="81"/>
    </row>
    <row r="958" spans="1:39" x14ac:dyDescent="0.3">
      <c r="A958" s="1">
        <v>28</v>
      </c>
      <c r="B958" s="2">
        <v>58</v>
      </c>
      <c r="D958" s="68">
        <v>0</v>
      </c>
      <c r="E958" s="68"/>
      <c r="F958" s="68"/>
      <c r="H958" s="68">
        <v>60</v>
      </c>
      <c r="I958" s="69">
        <v>3.2</v>
      </c>
      <c r="J958" s="69"/>
      <c r="K958" s="70">
        <v>3</v>
      </c>
      <c r="L958" s="68">
        <v>102</v>
      </c>
      <c r="N958" s="6">
        <v>5.5</v>
      </c>
      <c r="O958" s="17">
        <v>102</v>
      </c>
      <c r="Q958" s="84">
        <v>0</v>
      </c>
      <c r="R958" s="74"/>
      <c r="S958" s="74"/>
      <c r="X958" s="11">
        <v>144</v>
      </c>
      <c r="Y958" s="12">
        <v>6.7000000000000004E-2</v>
      </c>
      <c r="AI958" s="81" t="s">
        <v>383</v>
      </c>
      <c r="AJ958" s="81" t="s">
        <v>103</v>
      </c>
      <c r="AK958" s="81">
        <v>1972</v>
      </c>
      <c r="AL958" s="81" t="s">
        <v>104</v>
      </c>
      <c r="AM958" s="81"/>
    </row>
    <row r="959" spans="1:39" x14ac:dyDescent="0.3">
      <c r="A959" s="1">
        <v>28</v>
      </c>
      <c r="B959" s="2">
        <v>58</v>
      </c>
      <c r="D959" s="68">
        <v>0</v>
      </c>
      <c r="E959" s="68"/>
      <c r="F959" s="68"/>
      <c r="H959" s="68">
        <v>60</v>
      </c>
      <c r="I959" s="69">
        <v>3.2</v>
      </c>
      <c r="J959" s="69"/>
      <c r="K959" s="70">
        <v>3</v>
      </c>
      <c r="L959" s="68">
        <v>144</v>
      </c>
      <c r="N959" s="6">
        <v>5.5</v>
      </c>
      <c r="O959" s="17">
        <v>144</v>
      </c>
      <c r="Q959" s="84">
        <v>0</v>
      </c>
      <c r="R959" s="74"/>
      <c r="S959" s="74"/>
      <c r="T959" s="9">
        <f>LOG(52.6)/LOG(2)</f>
        <v>5.7169908944049403</v>
      </c>
      <c r="W959" s="10">
        <v>0.81799999999999995</v>
      </c>
      <c r="X959" s="11">
        <v>204</v>
      </c>
      <c r="Y959" s="12">
        <v>6.7000000000000004E-2</v>
      </c>
      <c r="AI959" s="81" t="s">
        <v>383</v>
      </c>
      <c r="AJ959" s="81" t="s">
        <v>103</v>
      </c>
      <c r="AK959" s="81">
        <v>1972</v>
      </c>
      <c r="AL959" s="81" t="s">
        <v>104</v>
      </c>
      <c r="AM959" s="81"/>
    </row>
    <row r="960" spans="1:39" x14ac:dyDescent="0.3">
      <c r="A960" s="1">
        <v>28</v>
      </c>
      <c r="B960" s="2">
        <v>51</v>
      </c>
      <c r="D960" s="68">
        <v>0</v>
      </c>
      <c r="E960" s="68"/>
      <c r="F960" s="68"/>
      <c r="H960" s="68">
        <v>60</v>
      </c>
      <c r="I960" s="69">
        <v>2.9</v>
      </c>
      <c r="J960" s="69"/>
      <c r="K960" s="70">
        <v>3</v>
      </c>
      <c r="L960" s="68">
        <v>60</v>
      </c>
      <c r="N960" s="6">
        <v>5.5</v>
      </c>
      <c r="O960" s="17">
        <v>60</v>
      </c>
      <c r="P960" s="7">
        <v>0.45</v>
      </c>
      <c r="Q960" s="84">
        <v>0</v>
      </c>
      <c r="R960" s="74">
        <v>2.9</v>
      </c>
      <c r="S960" s="74"/>
      <c r="X960" s="11">
        <v>102</v>
      </c>
      <c r="Y960" s="12">
        <v>0.42199999999999999</v>
      </c>
      <c r="AI960" s="81" t="s">
        <v>380</v>
      </c>
      <c r="AJ960" s="81" t="s">
        <v>103</v>
      </c>
      <c r="AK960" s="81">
        <v>1972</v>
      </c>
      <c r="AL960" s="81" t="s">
        <v>104</v>
      </c>
      <c r="AM960" s="81"/>
    </row>
    <row r="961" spans="1:39" x14ac:dyDescent="0.3">
      <c r="A961" s="1">
        <v>28</v>
      </c>
      <c r="B961" s="2">
        <v>51</v>
      </c>
      <c r="D961" s="68">
        <v>0</v>
      </c>
      <c r="E961" s="68"/>
      <c r="F961" s="68"/>
      <c r="H961" s="68">
        <v>60</v>
      </c>
      <c r="I961" s="69">
        <v>2.9</v>
      </c>
      <c r="J961" s="69"/>
      <c r="K961" s="70">
        <v>3</v>
      </c>
      <c r="L961" s="68">
        <v>102</v>
      </c>
      <c r="N961" s="6">
        <v>5.5</v>
      </c>
      <c r="O961" s="17">
        <v>102</v>
      </c>
      <c r="Q961" s="84">
        <v>0</v>
      </c>
      <c r="R961" s="74"/>
      <c r="S961" s="74"/>
      <c r="X961" s="11">
        <v>144</v>
      </c>
      <c r="Y961" s="12">
        <v>0.627</v>
      </c>
      <c r="AI961" s="81" t="s">
        <v>380</v>
      </c>
      <c r="AJ961" s="81" t="s">
        <v>103</v>
      </c>
      <c r="AK961" s="81">
        <v>1972</v>
      </c>
      <c r="AL961" s="81" t="s">
        <v>104</v>
      </c>
      <c r="AM961" s="81"/>
    </row>
    <row r="962" spans="1:39" x14ac:dyDescent="0.3">
      <c r="A962" s="1">
        <v>28</v>
      </c>
      <c r="B962" s="2">
        <v>51</v>
      </c>
      <c r="D962" s="68">
        <v>0</v>
      </c>
      <c r="E962" s="68"/>
      <c r="F962" s="68"/>
      <c r="H962" s="68">
        <v>60</v>
      </c>
      <c r="I962" s="69">
        <v>2.9</v>
      </c>
      <c r="J962" s="69"/>
      <c r="K962" s="70">
        <v>3</v>
      </c>
      <c r="L962" s="68">
        <v>144</v>
      </c>
      <c r="N962" s="6">
        <v>5.5</v>
      </c>
      <c r="O962" s="17">
        <v>144</v>
      </c>
      <c r="Q962" s="84">
        <v>0</v>
      </c>
      <c r="R962" s="74"/>
      <c r="S962" s="74"/>
      <c r="T962" s="9">
        <f>LOG(129.2)/LOG(2)</f>
        <v>7.0134622598065617</v>
      </c>
      <c r="W962" s="10">
        <v>1</v>
      </c>
      <c r="X962" s="11">
        <v>204</v>
      </c>
      <c r="Y962" s="12">
        <v>0.26800000000000002</v>
      </c>
      <c r="AI962" s="81" t="s">
        <v>380</v>
      </c>
      <c r="AJ962" s="81" t="s">
        <v>103</v>
      </c>
      <c r="AK962" s="81">
        <v>1972</v>
      </c>
      <c r="AL962" s="81" t="s">
        <v>104</v>
      </c>
      <c r="AM962" s="81"/>
    </row>
    <row r="963" spans="1:39" x14ac:dyDescent="0.3">
      <c r="A963" s="1">
        <v>38</v>
      </c>
      <c r="B963" s="2">
        <v>66</v>
      </c>
      <c r="D963" s="68">
        <v>0</v>
      </c>
      <c r="E963" s="68"/>
      <c r="F963" s="68"/>
      <c r="H963" s="68">
        <v>60</v>
      </c>
      <c r="I963" s="3">
        <v>2.7</v>
      </c>
      <c r="K963" s="70">
        <v>3</v>
      </c>
      <c r="L963" s="68">
        <v>60</v>
      </c>
      <c r="N963" s="6">
        <v>5.5</v>
      </c>
      <c r="O963" s="17">
        <v>60</v>
      </c>
      <c r="P963" s="7">
        <v>0.27300000000000002</v>
      </c>
      <c r="Q963" s="84">
        <v>0</v>
      </c>
      <c r="R963" s="74">
        <v>2.7</v>
      </c>
      <c r="S963" s="74"/>
      <c r="X963" s="11">
        <v>102</v>
      </c>
      <c r="Y963" s="12">
        <v>0.33800000000000002</v>
      </c>
      <c r="AI963" s="81" t="s">
        <v>381</v>
      </c>
      <c r="AJ963" s="81" t="s">
        <v>103</v>
      </c>
      <c r="AK963" s="81">
        <v>1972</v>
      </c>
      <c r="AL963" s="81" t="s">
        <v>104</v>
      </c>
      <c r="AM963" s="81"/>
    </row>
    <row r="964" spans="1:39" x14ac:dyDescent="0.3">
      <c r="A964" s="1">
        <v>38</v>
      </c>
      <c r="B964" s="2">
        <v>66</v>
      </c>
      <c r="D964" s="68">
        <v>0</v>
      </c>
      <c r="E964" s="68"/>
      <c r="F964" s="68"/>
      <c r="H964" s="68">
        <v>60</v>
      </c>
      <c r="I964" s="69">
        <v>2.7</v>
      </c>
      <c r="J964" s="69"/>
      <c r="K964" s="70">
        <v>3</v>
      </c>
      <c r="L964" s="68">
        <v>102</v>
      </c>
      <c r="N964" s="6">
        <v>5.5</v>
      </c>
      <c r="O964" s="17">
        <v>102</v>
      </c>
      <c r="Q964" s="84">
        <v>0</v>
      </c>
      <c r="R964" s="74"/>
      <c r="S964" s="74"/>
      <c r="X964" s="11">
        <v>144</v>
      </c>
      <c r="Y964" s="12">
        <v>0.49</v>
      </c>
      <c r="AI964" s="81" t="s">
        <v>381</v>
      </c>
      <c r="AJ964" s="81" t="s">
        <v>103</v>
      </c>
      <c r="AK964" s="81">
        <v>1972</v>
      </c>
      <c r="AL964" s="81" t="s">
        <v>104</v>
      </c>
      <c r="AM964" s="81"/>
    </row>
    <row r="965" spans="1:39" x14ac:dyDescent="0.3">
      <c r="A965" s="1">
        <v>38</v>
      </c>
      <c r="B965" s="2">
        <v>66</v>
      </c>
      <c r="D965" s="68">
        <v>0</v>
      </c>
      <c r="E965" s="68"/>
      <c r="F965" s="68"/>
      <c r="H965" s="68">
        <v>60</v>
      </c>
      <c r="I965" s="69">
        <v>2.7</v>
      </c>
      <c r="J965" s="69"/>
      <c r="K965" s="70">
        <v>3</v>
      </c>
      <c r="L965" s="68">
        <v>144</v>
      </c>
      <c r="N965" s="6">
        <v>5.5</v>
      </c>
      <c r="O965" s="17">
        <v>144</v>
      </c>
      <c r="Q965" s="84">
        <v>0</v>
      </c>
      <c r="R965" s="74"/>
      <c r="S965" s="74"/>
      <c r="T965" s="9">
        <f>LOG(132.8)/LOG(2)</f>
        <v>7.0531113364595628</v>
      </c>
      <c r="W965" s="10">
        <v>1</v>
      </c>
      <c r="X965" s="11">
        <v>204</v>
      </c>
      <c r="Y965" s="12">
        <v>0.14299999999999999</v>
      </c>
      <c r="AI965" s="81" t="s">
        <v>381</v>
      </c>
      <c r="AJ965" s="81" t="s">
        <v>103</v>
      </c>
      <c r="AK965" s="81">
        <v>1972</v>
      </c>
      <c r="AL965" s="81" t="s">
        <v>104</v>
      </c>
      <c r="AM965" s="81"/>
    </row>
    <row r="966" spans="1:39" x14ac:dyDescent="0.3">
      <c r="A966" s="1">
        <v>48</v>
      </c>
      <c r="D966" s="68">
        <v>0</v>
      </c>
      <c r="E966" s="68"/>
      <c r="F966" s="68">
        <v>0</v>
      </c>
      <c r="H966" s="68">
        <v>1</v>
      </c>
      <c r="I966" s="69">
        <v>6.9</v>
      </c>
      <c r="J966" s="69"/>
      <c r="K966" s="70">
        <v>1</v>
      </c>
      <c r="L966" s="68">
        <v>1</v>
      </c>
      <c r="M966" s="5">
        <v>160</v>
      </c>
      <c r="O966" s="17">
        <v>1</v>
      </c>
      <c r="P966" s="7">
        <v>1</v>
      </c>
      <c r="Q966" s="84">
        <v>0</v>
      </c>
      <c r="R966" s="74">
        <v>6.9</v>
      </c>
      <c r="S966" s="74"/>
      <c r="T966" s="9">
        <v>1.1000000000000001</v>
      </c>
      <c r="W966" s="10">
        <v>0.2</v>
      </c>
      <c r="X966" s="11">
        <v>180</v>
      </c>
      <c r="AI966" s="81" t="s">
        <v>100</v>
      </c>
      <c r="AJ966" s="81" t="s">
        <v>103</v>
      </c>
      <c r="AK966" s="81">
        <v>1989</v>
      </c>
      <c r="AL966" s="81" t="s">
        <v>104</v>
      </c>
      <c r="AM966" s="81"/>
    </row>
    <row r="967" spans="1:39" x14ac:dyDescent="0.3">
      <c r="A967" s="1">
        <v>48</v>
      </c>
      <c r="D967" s="68">
        <v>1</v>
      </c>
      <c r="E967" s="68">
        <v>160</v>
      </c>
      <c r="F967" s="68">
        <v>0</v>
      </c>
      <c r="H967" s="68">
        <v>1</v>
      </c>
      <c r="I967" s="69">
        <v>6.9</v>
      </c>
      <c r="J967" s="69"/>
      <c r="K967" s="4">
        <v>1</v>
      </c>
      <c r="L967" s="68">
        <v>180</v>
      </c>
      <c r="M967" s="5">
        <v>160</v>
      </c>
      <c r="O967" s="17">
        <v>180</v>
      </c>
      <c r="P967" s="7">
        <v>0.2</v>
      </c>
      <c r="Q967" s="84">
        <v>0</v>
      </c>
      <c r="R967" s="74">
        <v>1.1000000000000001</v>
      </c>
      <c r="S967" s="74"/>
      <c r="T967" s="9">
        <v>5.6</v>
      </c>
      <c r="W967" s="10">
        <v>0.81299999999999994</v>
      </c>
      <c r="X967" s="11">
        <v>208</v>
      </c>
      <c r="AI967" s="81" t="s">
        <v>100</v>
      </c>
      <c r="AJ967" s="81" t="s">
        <v>103</v>
      </c>
      <c r="AK967" s="81">
        <v>1989</v>
      </c>
      <c r="AL967" s="81" t="s">
        <v>104</v>
      </c>
      <c r="AM967" s="81"/>
    </row>
    <row r="968" spans="1:39" x14ac:dyDescent="0.3">
      <c r="A968" s="1">
        <v>50</v>
      </c>
      <c r="D968" s="2">
        <v>0</v>
      </c>
      <c r="F968" s="2">
        <v>0</v>
      </c>
      <c r="H968" s="2">
        <v>1</v>
      </c>
      <c r="I968" s="3">
        <v>7.3</v>
      </c>
      <c r="K968" s="4">
        <v>1</v>
      </c>
      <c r="L968" s="68">
        <v>1</v>
      </c>
      <c r="M968" s="5">
        <v>80</v>
      </c>
      <c r="O968" s="17">
        <v>1</v>
      </c>
      <c r="P968" s="7">
        <v>1</v>
      </c>
      <c r="Q968" s="84">
        <v>0</v>
      </c>
      <c r="R968" s="8">
        <v>7.3</v>
      </c>
      <c r="T968" s="9">
        <v>1.4</v>
      </c>
      <c r="W968" s="10">
        <v>0.29799999999999999</v>
      </c>
      <c r="X968" s="11">
        <v>180</v>
      </c>
      <c r="AI968" s="15" t="s">
        <v>101</v>
      </c>
      <c r="AJ968" s="15" t="s">
        <v>103</v>
      </c>
      <c r="AK968" s="15">
        <v>1989</v>
      </c>
      <c r="AL968" s="15" t="s">
        <v>104</v>
      </c>
      <c r="AM968" s="81"/>
    </row>
    <row r="969" spans="1:39" x14ac:dyDescent="0.3">
      <c r="A969" s="1">
        <v>50</v>
      </c>
      <c r="D969" s="2">
        <v>1</v>
      </c>
      <c r="E969" s="2">
        <v>80</v>
      </c>
      <c r="F969" s="2">
        <v>0</v>
      </c>
      <c r="H969" s="2">
        <v>1</v>
      </c>
      <c r="I969" s="3">
        <v>7.3</v>
      </c>
      <c r="K969" s="4">
        <v>1</v>
      </c>
      <c r="L969" s="68">
        <v>180</v>
      </c>
      <c r="M969" s="5">
        <v>80</v>
      </c>
      <c r="O969" s="17">
        <v>180</v>
      </c>
      <c r="P969" s="7">
        <v>0.29799999999999999</v>
      </c>
      <c r="Q969" s="84">
        <v>0</v>
      </c>
      <c r="R969" s="8">
        <v>1.4</v>
      </c>
      <c r="T969" s="9">
        <v>4.9000000000000004</v>
      </c>
      <c r="W969" s="10">
        <v>0.78</v>
      </c>
      <c r="X969" s="11">
        <v>208</v>
      </c>
      <c r="AI969" s="15" t="s">
        <v>101</v>
      </c>
      <c r="AJ969" s="15" t="s">
        <v>103</v>
      </c>
      <c r="AK969" s="15">
        <v>1989</v>
      </c>
      <c r="AL969" s="15" t="s">
        <v>104</v>
      </c>
    </row>
    <row r="970" spans="1:39" x14ac:dyDescent="0.3">
      <c r="A970" s="1">
        <v>49</v>
      </c>
      <c r="D970" s="2">
        <v>0</v>
      </c>
      <c r="F970" s="2">
        <v>0</v>
      </c>
      <c r="H970" s="2">
        <v>1</v>
      </c>
      <c r="I970" s="3">
        <v>6.6</v>
      </c>
      <c r="K970" s="4">
        <v>1</v>
      </c>
      <c r="L970" s="68">
        <v>1</v>
      </c>
      <c r="M970" s="5">
        <v>40</v>
      </c>
      <c r="O970" s="17">
        <v>1</v>
      </c>
      <c r="P970" s="7">
        <v>1</v>
      </c>
      <c r="Q970" s="84">
        <v>0</v>
      </c>
      <c r="R970" s="8">
        <v>6.6</v>
      </c>
      <c r="T970" s="9">
        <v>1.3</v>
      </c>
      <c r="W970" s="10">
        <v>0.29499999999999998</v>
      </c>
      <c r="X970" s="11">
        <v>180</v>
      </c>
      <c r="AI970" s="15" t="s">
        <v>102</v>
      </c>
      <c r="AJ970" s="15" t="s">
        <v>103</v>
      </c>
      <c r="AK970" s="15">
        <v>1989</v>
      </c>
      <c r="AL970" s="15" t="s">
        <v>104</v>
      </c>
    </row>
    <row r="971" spans="1:39" x14ac:dyDescent="0.3">
      <c r="A971" s="1">
        <v>49</v>
      </c>
      <c r="D971" s="2">
        <v>1</v>
      </c>
      <c r="E971" s="2">
        <v>40</v>
      </c>
      <c r="F971" s="2">
        <v>0</v>
      </c>
      <c r="H971" s="2">
        <v>1</v>
      </c>
      <c r="I971" s="3">
        <v>6.6</v>
      </c>
      <c r="K971" s="4">
        <v>1</v>
      </c>
      <c r="L971" s="68">
        <v>180</v>
      </c>
      <c r="M971" s="5">
        <v>40</v>
      </c>
      <c r="O971" s="17">
        <v>180</v>
      </c>
      <c r="P971" s="7">
        <v>0.29499999999999998</v>
      </c>
      <c r="Q971" s="84">
        <v>0</v>
      </c>
      <c r="R971" s="8">
        <v>1.3</v>
      </c>
      <c r="T971" s="9">
        <v>5.5</v>
      </c>
      <c r="W971" s="10">
        <v>0.79600000000000004</v>
      </c>
      <c r="X971" s="11">
        <v>208</v>
      </c>
      <c r="AI971" s="15" t="s">
        <v>102</v>
      </c>
      <c r="AJ971" s="15" t="s">
        <v>103</v>
      </c>
      <c r="AK971" s="15">
        <v>1989</v>
      </c>
      <c r="AL971" s="15" t="s">
        <v>104</v>
      </c>
    </row>
    <row r="972" spans="1:39" x14ac:dyDescent="0.3">
      <c r="A972" s="1">
        <v>48</v>
      </c>
      <c r="D972" s="2">
        <v>0</v>
      </c>
      <c r="F972" s="2">
        <v>0</v>
      </c>
      <c r="H972" s="2">
        <v>1</v>
      </c>
      <c r="I972" s="3">
        <v>7.6</v>
      </c>
      <c r="K972" s="4">
        <v>2</v>
      </c>
      <c r="L972" s="68">
        <v>1</v>
      </c>
      <c r="M972" s="5">
        <v>32</v>
      </c>
      <c r="O972" s="17">
        <v>1</v>
      </c>
      <c r="P972" s="7">
        <v>1</v>
      </c>
      <c r="Q972" s="84">
        <v>0</v>
      </c>
      <c r="R972" s="8">
        <v>7.6</v>
      </c>
      <c r="T972" s="9">
        <v>1.4</v>
      </c>
      <c r="W972" s="10">
        <v>0.3</v>
      </c>
      <c r="X972" s="11">
        <v>180</v>
      </c>
      <c r="AI972" s="15" t="s">
        <v>100</v>
      </c>
      <c r="AJ972" s="15" t="s">
        <v>103</v>
      </c>
      <c r="AK972" s="15">
        <v>1989</v>
      </c>
      <c r="AL972" s="15" t="s">
        <v>104</v>
      </c>
    </row>
    <row r="973" spans="1:39" x14ac:dyDescent="0.3">
      <c r="A973" s="1">
        <v>48</v>
      </c>
      <c r="D973" s="2">
        <v>1</v>
      </c>
      <c r="E973" s="2">
        <v>32</v>
      </c>
      <c r="F973" s="2">
        <v>0</v>
      </c>
      <c r="H973" s="2">
        <v>1</v>
      </c>
      <c r="I973" s="3">
        <v>7.6</v>
      </c>
      <c r="K973" s="4">
        <v>2</v>
      </c>
      <c r="L973" s="68">
        <v>180</v>
      </c>
      <c r="M973" s="5">
        <v>32</v>
      </c>
      <c r="O973" s="17">
        <v>180</v>
      </c>
      <c r="P973" s="7">
        <v>0.3</v>
      </c>
      <c r="Q973" s="84">
        <v>0</v>
      </c>
      <c r="R973" s="8">
        <v>1.4</v>
      </c>
      <c r="T973" s="9">
        <v>5.9</v>
      </c>
      <c r="W973" s="10">
        <v>0.89600000000000002</v>
      </c>
      <c r="X973" s="11">
        <v>208</v>
      </c>
      <c r="AI973" s="15" t="s">
        <v>100</v>
      </c>
      <c r="AJ973" s="15" t="s">
        <v>103</v>
      </c>
      <c r="AK973" s="15">
        <v>1989</v>
      </c>
      <c r="AL973" s="15" t="s">
        <v>104</v>
      </c>
    </row>
    <row r="974" spans="1:39" x14ac:dyDescent="0.3">
      <c r="A974" s="1">
        <v>50</v>
      </c>
      <c r="D974" s="2">
        <v>0</v>
      </c>
      <c r="F974" s="2">
        <v>0</v>
      </c>
      <c r="H974" s="2">
        <v>1</v>
      </c>
      <c r="I974" s="3">
        <v>8.1</v>
      </c>
      <c r="K974" s="4">
        <v>2</v>
      </c>
      <c r="L974" s="2">
        <v>1</v>
      </c>
      <c r="M974" s="5">
        <v>16</v>
      </c>
      <c r="O974" s="17">
        <v>1</v>
      </c>
      <c r="P974" s="7">
        <v>1</v>
      </c>
      <c r="Q974" s="84">
        <v>0</v>
      </c>
      <c r="R974" s="8">
        <v>8.1</v>
      </c>
      <c r="T974" s="9">
        <v>1.7</v>
      </c>
      <c r="W974" s="10">
        <v>0.34</v>
      </c>
      <c r="X974" s="11">
        <v>180</v>
      </c>
      <c r="AI974" s="15" t="s">
        <v>101</v>
      </c>
      <c r="AJ974" s="15" t="s">
        <v>103</v>
      </c>
      <c r="AK974" s="15">
        <v>1989</v>
      </c>
      <c r="AL974" s="15" t="s">
        <v>104</v>
      </c>
    </row>
    <row r="975" spans="1:39" x14ac:dyDescent="0.3">
      <c r="A975" s="1">
        <v>50</v>
      </c>
      <c r="D975" s="2">
        <v>1</v>
      </c>
      <c r="E975" s="2">
        <v>16</v>
      </c>
      <c r="F975" s="2">
        <v>0</v>
      </c>
      <c r="H975" s="2">
        <v>1</v>
      </c>
      <c r="I975" s="3">
        <v>8.1</v>
      </c>
      <c r="K975" s="4">
        <v>2</v>
      </c>
      <c r="L975" s="2">
        <v>180</v>
      </c>
      <c r="M975" s="5">
        <v>16</v>
      </c>
      <c r="O975" s="17">
        <v>180</v>
      </c>
      <c r="P975" s="7">
        <v>0.34</v>
      </c>
      <c r="Q975" s="84">
        <v>0</v>
      </c>
      <c r="R975" s="8">
        <v>1.7</v>
      </c>
      <c r="T975" s="9">
        <v>6.1</v>
      </c>
      <c r="W975" s="10">
        <v>1</v>
      </c>
      <c r="X975" s="77">
        <v>208</v>
      </c>
      <c r="AI975" s="81" t="s">
        <v>101</v>
      </c>
      <c r="AJ975" s="81" t="s">
        <v>103</v>
      </c>
      <c r="AK975" s="15">
        <v>1989</v>
      </c>
      <c r="AL975" s="81" t="s">
        <v>104</v>
      </c>
    </row>
    <row r="976" spans="1:39" x14ac:dyDescent="0.3">
      <c r="A976" s="67">
        <v>49</v>
      </c>
      <c r="D976" s="2">
        <v>0</v>
      </c>
      <c r="F976" s="2">
        <v>0</v>
      </c>
      <c r="H976" s="2">
        <v>1</v>
      </c>
      <c r="I976" s="3">
        <v>7.6</v>
      </c>
      <c r="K976" s="4">
        <v>2</v>
      </c>
      <c r="L976" s="68">
        <v>1</v>
      </c>
      <c r="M976" s="5">
        <v>8</v>
      </c>
      <c r="O976" s="17">
        <v>1</v>
      </c>
      <c r="P976" s="7">
        <v>1</v>
      </c>
      <c r="Q976" s="84">
        <v>0</v>
      </c>
      <c r="R976" s="8">
        <v>7.6</v>
      </c>
      <c r="T976" s="9">
        <v>1.8</v>
      </c>
      <c r="W976" s="10">
        <v>0.27300000000000002</v>
      </c>
      <c r="X976" s="77">
        <v>180</v>
      </c>
      <c r="AI976" s="81" t="s">
        <v>102</v>
      </c>
      <c r="AJ976" s="81" t="s">
        <v>103</v>
      </c>
      <c r="AK976" s="81">
        <v>1989</v>
      </c>
      <c r="AL976" s="81" t="s">
        <v>104</v>
      </c>
    </row>
    <row r="977" spans="1:39" x14ac:dyDescent="0.3">
      <c r="A977" s="67">
        <v>49</v>
      </c>
      <c r="D977" s="2">
        <v>1</v>
      </c>
      <c r="E977" s="2">
        <v>8</v>
      </c>
      <c r="F977" s="2">
        <v>0</v>
      </c>
      <c r="H977" s="2">
        <v>1</v>
      </c>
      <c r="I977" s="3">
        <v>7.6</v>
      </c>
      <c r="K977" s="4">
        <v>2</v>
      </c>
      <c r="L977" s="68">
        <v>180</v>
      </c>
      <c r="M977" s="5">
        <v>8</v>
      </c>
      <c r="O977" s="17">
        <v>180</v>
      </c>
      <c r="P977" s="7">
        <v>0.27300000000000002</v>
      </c>
      <c r="Q977" s="84">
        <v>0</v>
      </c>
      <c r="R977" s="74">
        <v>1.8</v>
      </c>
      <c r="T977" s="9">
        <v>6.7</v>
      </c>
      <c r="W977" s="10">
        <v>0.97899999999999998</v>
      </c>
      <c r="X977" s="77">
        <v>208</v>
      </c>
      <c r="AI977" s="81" t="s">
        <v>102</v>
      </c>
      <c r="AJ977" s="81" t="s">
        <v>103</v>
      </c>
      <c r="AK977" s="81">
        <v>1989</v>
      </c>
      <c r="AL977" s="81" t="s">
        <v>104</v>
      </c>
    </row>
    <row r="978" spans="1:39" s="82" customFormat="1" x14ac:dyDescent="0.3">
      <c r="A978" s="67">
        <v>48</v>
      </c>
      <c r="B978" s="68"/>
      <c r="C978" s="68"/>
      <c r="D978" s="68">
        <v>0</v>
      </c>
      <c r="E978" s="68"/>
      <c r="F978" s="68">
        <v>0</v>
      </c>
      <c r="G978" s="69"/>
      <c r="H978" s="68">
        <v>1</v>
      </c>
      <c r="I978" s="69">
        <v>6.5</v>
      </c>
      <c r="J978" s="69"/>
      <c r="K978" s="70">
        <v>3</v>
      </c>
      <c r="L978" s="68">
        <v>1</v>
      </c>
      <c r="M978" s="71">
        <v>128</v>
      </c>
      <c r="N978" s="72"/>
      <c r="O978" s="84">
        <v>1</v>
      </c>
      <c r="P978" s="73">
        <v>1</v>
      </c>
      <c r="Q978" s="84">
        <v>0</v>
      </c>
      <c r="R978" s="74">
        <v>6.5</v>
      </c>
      <c r="S978" s="74"/>
      <c r="T978" s="75">
        <v>2</v>
      </c>
      <c r="U978" s="75"/>
      <c r="V978" s="76"/>
      <c r="W978" s="76">
        <v>0.42499999999999999</v>
      </c>
      <c r="X978" s="77">
        <v>180</v>
      </c>
      <c r="Y978" s="78"/>
      <c r="Z978" s="79"/>
      <c r="AA978" s="69"/>
      <c r="AB978" s="68"/>
      <c r="AC978" s="68"/>
      <c r="AD978" s="68"/>
      <c r="AE978" s="80"/>
      <c r="AF978" s="80"/>
      <c r="AG978" s="80"/>
      <c r="AH978" s="80"/>
      <c r="AI978" s="81" t="s">
        <v>100</v>
      </c>
      <c r="AJ978" s="81" t="s">
        <v>103</v>
      </c>
      <c r="AK978" s="81">
        <v>1989</v>
      </c>
      <c r="AL978" s="81" t="s">
        <v>104</v>
      </c>
      <c r="AM978" s="81"/>
    </row>
    <row r="979" spans="1:39" s="82" customFormat="1" x14ac:dyDescent="0.3">
      <c r="A979" s="67">
        <v>48</v>
      </c>
      <c r="B979" s="68"/>
      <c r="C979" s="68"/>
      <c r="D979" s="68">
        <v>1</v>
      </c>
      <c r="E979" s="68">
        <v>128</v>
      </c>
      <c r="F979" s="68">
        <v>0</v>
      </c>
      <c r="G979" s="69"/>
      <c r="H979" s="68">
        <v>1</v>
      </c>
      <c r="I979" s="69">
        <v>6.5</v>
      </c>
      <c r="J979" s="69"/>
      <c r="K979" s="70">
        <v>3</v>
      </c>
      <c r="L979" s="68">
        <v>180</v>
      </c>
      <c r="M979" s="71">
        <v>128</v>
      </c>
      <c r="N979" s="72"/>
      <c r="O979" s="84">
        <v>180</v>
      </c>
      <c r="P979" s="73">
        <v>0.42499999999999999</v>
      </c>
      <c r="Q979" s="84">
        <v>0</v>
      </c>
      <c r="R979" s="74">
        <v>2</v>
      </c>
      <c r="S979" s="74"/>
      <c r="T979" s="75">
        <v>6</v>
      </c>
      <c r="U979" s="75"/>
      <c r="V979" s="76"/>
      <c r="W979" s="76">
        <v>0.77100000000000002</v>
      </c>
      <c r="X979" s="77">
        <v>208</v>
      </c>
      <c r="Y979" s="78"/>
      <c r="Z979" s="79"/>
      <c r="AA979" s="69"/>
      <c r="AB979" s="68"/>
      <c r="AC979" s="68"/>
      <c r="AD979" s="68"/>
      <c r="AE979" s="80"/>
      <c r="AF979" s="80"/>
      <c r="AG979" s="80"/>
      <c r="AH979" s="80"/>
      <c r="AI979" s="81" t="s">
        <v>100</v>
      </c>
      <c r="AJ979" s="81" t="s">
        <v>103</v>
      </c>
      <c r="AK979" s="81">
        <v>1989</v>
      </c>
      <c r="AL979" s="81" t="s">
        <v>104</v>
      </c>
      <c r="AM979" s="81"/>
    </row>
    <row r="980" spans="1:39" s="82" customFormat="1" x14ac:dyDescent="0.3">
      <c r="A980" s="67">
        <v>50</v>
      </c>
      <c r="B980" s="68"/>
      <c r="C980" s="68"/>
      <c r="D980" s="68">
        <v>0</v>
      </c>
      <c r="E980" s="68"/>
      <c r="F980" s="68">
        <v>0</v>
      </c>
      <c r="G980" s="69"/>
      <c r="H980" s="68">
        <v>1</v>
      </c>
      <c r="I980" s="69">
        <v>6.6</v>
      </c>
      <c r="J980" s="69"/>
      <c r="K980" s="70">
        <v>3</v>
      </c>
      <c r="L980" s="68">
        <v>1</v>
      </c>
      <c r="M980" s="71">
        <v>64</v>
      </c>
      <c r="N980" s="72"/>
      <c r="O980" s="84">
        <v>1</v>
      </c>
      <c r="P980" s="73">
        <v>1</v>
      </c>
      <c r="Q980" s="84">
        <v>0</v>
      </c>
      <c r="R980" s="74">
        <v>6.6</v>
      </c>
      <c r="S980" s="74"/>
      <c r="T980" s="75">
        <v>1.8</v>
      </c>
      <c r="U980" s="75"/>
      <c r="V980" s="76"/>
      <c r="W980" s="76">
        <v>0.38300000000000001</v>
      </c>
      <c r="X980" s="77">
        <v>180</v>
      </c>
      <c r="Y980" s="78"/>
      <c r="Z980" s="79"/>
      <c r="AA980" s="69"/>
      <c r="AB980" s="68"/>
      <c r="AC980" s="68"/>
      <c r="AD980" s="68"/>
      <c r="AE980" s="80"/>
      <c r="AF980" s="80"/>
      <c r="AG980" s="80"/>
      <c r="AH980" s="80"/>
      <c r="AI980" s="81" t="s">
        <v>101</v>
      </c>
      <c r="AJ980" s="81" t="s">
        <v>103</v>
      </c>
      <c r="AK980" s="81">
        <v>1989</v>
      </c>
      <c r="AL980" s="81" t="s">
        <v>104</v>
      </c>
      <c r="AM980" s="81"/>
    </row>
    <row r="981" spans="1:39" x14ac:dyDescent="0.3">
      <c r="A981" s="1">
        <v>50</v>
      </c>
      <c r="D981" s="2">
        <v>1</v>
      </c>
      <c r="E981" s="2">
        <v>64</v>
      </c>
      <c r="F981" s="2">
        <v>0</v>
      </c>
      <c r="H981" s="2">
        <v>1</v>
      </c>
      <c r="I981" s="3">
        <v>6.6</v>
      </c>
      <c r="K981" s="4">
        <v>3</v>
      </c>
      <c r="L981" s="2">
        <v>180</v>
      </c>
      <c r="M981" s="5">
        <v>64</v>
      </c>
      <c r="O981" s="17">
        <v>180</v>
      </c>
      <c r="P981" s="7">
        <v>0.38300000000000001</v>
      </c>
      <c r="Q981" s="84">
        <v>0</v>
      </c>
      <c r="R981" s="74">
        <v>1.8</v>
      </c>
      <c r="T981" s="9">
        <v>6.2</v>
      </c>
      <c r="W981" s="76">
        <v>0.9</v>
      </c>
      <c r="X981" s="11">
        <v>208</v>
      </c>
      <c r="AI981" s="81" t="s">
        <v>101</v>
      </c>
      <c r="AJ981" s="81" t="s">
        <v>103</v>
      </c>
      <c r="AK981" s="15">
        <v>1989</v>
      </c>
      <c r="AL981" s="81" t="s">
        <v>104</v>
      </c>
    </row>
    <row r="982" spans="1:39" x14ac:dyDescent="0.3">
      <c r="A982" s="1">
        <v>49</v>
      </c>
      <c r="D982" s="2">
        <v>0</v>
      </c>
      <c r="F982" s="2">
        <v>0</v>
      </c>
      <c r="H982" s="2">
        <v>1</v>
      </c>
      <c r="I982" s="3">
        <v>6.8</v>
      </c>
      <c r="K982" s="4">
        <v>3</v>
      </c>
      <c r="L982" s="68">
        <v>1</v>
      </c>
      <c r="M982" s="5">
        <v>32</v>
      </c>
      <c r="O982" s="17">
        <v>1</v>
      </c>
      <c r="P982" s="7">
        <v>1</v>
      </c>
      <c r="Q982" s="84">
        <v>0</v>
      </c>
      <c r="R982" s="74">
        <v>6.8</v>
      </c>
      <c r="T982" s="9">
        <v>0.9</v>
      </c>
      <c r="W982" s="76">
        <v>0.20499999999999999</v>
      </c>
      <c r="X982" s="11">
        <v>180</v>
      </c>
      <c r="AI982" s="81" t="s">
        <v>102</v>
      </c>
      <c r="AJ982" s="81" t="s">
        <v>103</v>
      </c>
      <c r="AK982" s="81">
        <v>1989</v>
      </c>
      <c r="AL982" s="81" t="s">
        <v>104</v>
      </c>
      <c r="AM982" s="81"/>
    </row>
    <row r="983" spans="1:39" x14ac:dyDescent="0.3">
      <c r="A983" s="1">
        <v>49</v>
      </c>
      <c r="D983" s="2">
        <v>1</v>
      </c>
      <c r="E983" s="2">
        <v>32</v>
      </c>
      <c r="F983" s="2">
        <v>0</v>
      </c>
      <c r="H983" s="2">
        <v>1</v>
      </c>
      <c r="I983" s="3">
        <v>6.8</v>
      </c>
      <c r="K983" s="4">
        <v>3</v>
      </c>
      <c r="L983" s="68">
        <v>180</v>
      </c>
      <c r="M983" s="5">
        <v>32</v>
      </c>
      <c r="O983" s="17">
        <v>180</v>
      </c>
      <c r="P983" s="7">
        <v>0.20499999999999999</v>
      </c>
      <c r="Q983" s="84">
        <v>0</v>
      </c>
      <c r="R983" s="74">
        <v>0.9</v>
      </c>
      <c r="T983" s="9">
        <v>4.5999999999999996</v>
      </c>
      <c r="W983" s="76">
        <v>0.71399999999999997</v>
      </c>
      <c r="X983" s="77">
        <v>208</v>
      </c>
      <c r="AI983" s="81" t="s">
        <v>102</v>
      </c>
      <c r="AJ983" s="81" t="s">
        <v>103</v>
      </c>
      <c r="AK983" s="81">
        <v>1989</v>
      </c>
      <c r="AL983" s="81" t="s">
        <v>104</v>
      </c>
    </row>
    <row r="984" spans="1:39" x14ac:dyDescent="0.3">
      <c r="A984" s="1">
        <v>47</v>
      </c>
      <c r="B984" s="2">
        <v>47</v>
      </c>
      <c r="C984" s="68">
        <v>2</v>
      </c>
      <c r="D984" s="2">
        <v>1</v>
      </c>
      <c r="E984" s="2">
        <v>40</v>
      </c>
      <c r="F984" s="2">
        <v>1</v>
      </c>
      <c r="G984" s="3">
        <v>6</v>
      </c>
      <c r="K984" s="4">
        <v>1</v>
      </c>
      <c r="L984" s="2">
        <v>480</v>
      </c>
      <c r="N984" s="6">
        <v>6</v>
      </c>
      <c r="P984" s="7">
        <v>1</v>
      </c>
      <c r="Q984" s="84">
        <v>0</v>
      </c>
      <c r="R984" s="74"/>
      <c r="Y984" s="12">
        <v>0.36</v>
      </c>
      <c r="AB984" s="2">
        <v>18.8</v>
      </c>
      <c r="AC984" s="2">
        <v>133</v>
      </c>
      <c r="AI984" s="81" t="s">
        <v>342</v>
      </c>
      <c r="AJ984" s="81" t="s">
        <v>103</v>
      </c>
      <c r="AK984" s="15">
        <v>2008</v>
      </c>
      <c r="AL984" s="81" t="s">
        <v>104</v>
      </c>
      <c r="AM984" s="15" t="s">
        <v>312</v>
      </c>
    </row>
    <row r="985" spans="1:39" x14ac:dyDescent="0.3">
      <c r="A985" s="1">
        <v>15</v>
      </c>
      <c r="B985" s="2">
        <v>15</v>
      </c>
      <c r="C985" s="68">
        <v>1</v>
      </c>
      <c r="D985" s="2">
        <v>1</v>
      </c>
      <c r="E985" s="2">
        <v>40</v>
      </c>
      <c r="F985" s="2">
        <v>1</v>
      </c>
      <c r="G985" s="3">
        <v>6</v>
      </c>
      <c r="K985" s="4">
        <v>1</v>
      </c>
      <c r="L985" s="68">
        <v>300</v>
      </c>
      <c r="N985" s="6">
        <v>6</v>
      </c>
      <c r="O985" s="84">
        <v>300</v>
      </c>
      <c r="P985" s="7">
        <v>1</v>
      </c>
      <c r="Q985" s="84">
        <v>0</v>
      </c>
      <c r="R985" s="74">
        <v>10.5</v>
      </c>
      <c r="S985" s="8">
        <v>0.2</v>
      </c>
      <c r="X985" s="77"/>
      <c r="Y985" s="12">
        <v>0.33300000000000002</v>
      </c>
      <c r="AI985" s="81" t="s">
        <v>309</v>
      </c>
      <c r="AJ985" s="81" t="s">
        <v>103</v>
      </c>
      <c r="AK985" s="81">
        <v>2008</v>
      </c>
      <c r="AL985" s="81" t="s">
        <v>104</v>
      </c>
      <c r="AM985" s="15" t="s">
        <v>121</v>
      </c>
    </row>
    <row r="986" spans="1:39" x14ac:dyDescent="0.3">
      <c r="A986" s="1">
        <v>29</v>
      </c>
      <c r="B986" s="2">
        <v>29</v>
      </c>
      <c r="C986" s="68">
        <v>1</v>
      </c>
      <c r="D986" s="2">
        <v>1</v>
      </c>
      <c r="E986" s="2">
        <v>40</v>
      </c>
      <c r="F986" s="2">
        <v>1</v>
      </c>
      <c r="G986" s="3">
        <v>6</v>
      </c>
      <c r="K986" s="4">
        <v>1</v>
      </c>
      <c r="L986" s="68">
        <v>300</v>
      </c>
      <c r="N986" s="6">
        <v>6</v>
      </c>
      <c r="O986" s="84">
        <v>300</v>
      </c>
      <c r="P986" s="7">
        <v>1</v>
      </c>
      <c r="Q986" s="84">
        <v>0</v>
      </c>
      <c r="R986" s="74">
        <v>13</v>
      </c>
      <c r="S986" s="8">
        <v>0.7</v>
      </c>
      <c r="X986" s="77"/>
      <c r="Y986" s="12">
        <v>0.19400000000000001</v>
      </c>
      <c r="AI986" s="81" t="s">
        <v>310</v>
      </c>
      <c r="AJ986" s="81" t="s">
        <v>103</v>
      </c>
      <c r="AK986" s="81">
        <v>2008</v>
      </c>
      <c r="AL986" s="81" t="s">
        <v>104</v>
      </c>
      <c r="AM986" s="15" t="s">
        <v>121</v>
      </c>
    </row>
    <row r="987" spans="1:39" x14ac:dyDescent="0.3">
      <c r="A987" s="1">
        <v>15</v>
      </c>
      <c r="B987" s="68">
        <v>15</v>
      </c>
      <c r="C987" s="68">
        <v>1</v>
      </c>
      <c r="D987" s="2">
        <v>1</v>
      </c>
      <c r="E987" s="2">
        <v>40</v>
      </c>
      <c r="F987" s="2">
        <v>1</v>
      </c>
      <c r="G987" s="3">
        <v>6</v>
      </c>
      <c r="K987" s="4">
        <v>1</v>
      </c>
      <c r="L987" s="68">
        <v>300</v>
      </c>
      <c r="N987" s="6">
        <v>6</v>
      </c>
      <c r="O987" s="84">
        <v>300</v>
      </c>
      <c r="P987" s="7">
        <v>1</v>
      </c>
      <c r="Q987" s="84">
        <v>0</v>
      </c>
      <c r="R987" s="74">
        <v>6</v>
      </c>
      <c r="S987" s="8">
        <v>3.4</v>
      </c>
      <c r="X987" s="77"/>
      <c r="Y987" s="12">
        <v>0.57099999999999995</v>
      </c>
      <c r="AI987" s="81" t="s">
        <v>308</v>
      </c>
      <c r="AJ987" s="81" t="s">
        <v>103</v>
      </c>
      <c r="AK987" s="81">
        <v>2008</v>
      </c>
      <c r="AL987" s="81" t="s">
        <v>104</v>
      </c>
      <c r="AM987" s="15" t="s">
        <v>121</v>
      </c>
    </row>
    <row r="988" spans="1:39" x14ac:dyDescent="0.3">
      <c r="A988" s="1">
        <v>51</v>
      </c>
      <c r="B988" s="68">
        <v>51</v>
      </c>
      <c r="C988" s="68">
        <v>1</v>
      </c>
      <c r="D988" s="2">
        <v>1</v>
      </c>
      <c r="E988" s="2">
        <v>40</v>
      </c>
      <c r="F988" s="2">
        <v>1</v>
      </c>
      <c r="G988" s="3">
        <v>6</v>
      </c>
      <c r="K988" s="4">
        <v>1</v>
      </c>
      <c r="L988" s="68">
        <v>300</v>
      </c>
      <c r="N988" s="72">
        <v>6</v>
      </c>
      <c r="O988" s="84"/>
      <c r="P988" s="7">
        <v>1</v>
      </c>
      <c r="Q988" s="84">
        <v>0</v>
      </c>
      <c r="R988" s="74"/>
      <c r="X988" s="77"/>
      <c r="Y988" s="12">
        <v>0.35399999999999998</v>
      </c>
      <c r="AB988" s="2">
        <v>19.3</v>
      </c>
      <c r="AC988" s="2">
        <v>45</v>
      </c>
      <c r="AI988" s="81" t="s">
        <v>341</v>
      </c>
      <c r="AJ988" s="81" t="s">
        <v>103</v>
      </c>
      <c r="AK988" s="81">
        <v>2008</v>
      </c>
      <c r="AL988" s="81" t="s">
        <v>104</v>
      </c>
      <c r="AM988" s="15" t="s">
        <v>311</v>
      </c>
    </row>
    <row r="989" spans="1:39" x14ac:dyDescent="0.3">
      <c r="A989" s="1">
        <v>52</v>
      </c>
      <c r="B989" s="2">
        <v>52</v>
      </c>
      <c r="C989" s="68">
        <v>1</v>
      </c>
      <c r="D989" s="2">
        <v>1</v>
      </c>
      <c r="E989" s="2">
        <v>40</v>
      </c>
      <c r="F989" s="2">
        <v>1</v>
      </c>
      <c r="G989" s="3">
        <v>6</v>
      </c>
      <c r="K989" s="4">
        <v>1</v>
      </c>
      <c r="L989" s="68">
        <v>300</v>
      </c>
      <c r="N989" s="72">
        <v>6</v>
      </c>
      <c r="O989" s="84"/>
      <c r="P989" s="7">
        <v>1</v>
      </c>
      <c r="Q989" s="84">
        <v>0</v>
      </c>
      <c r="R989" s="74"/>
      <c r="X989" s="77"/>
      <c r="Y989" s="12">
        <v>0.36499999999999999</v>
      </c>
      <c r="AB989" s="2">
        <v>12</v>
      </c>
      <c r="AC989" s="2">
        <v>20</v>
      </c>
      <c r="AI989" s="81" t="s">
        <v>340</v>
      </c>
      <c r="AJ989" s="81" t="s">
        <v>103</v>
      </c>
      <c r="AK989" s="81">
        <v>2008</v>
      </c>
      <c r="AL989" s="81" t="s">
        <v>104</v>
      </c>
    </row>
    <row r="990" spans="1:39" s="82" customFormat="1" x14ac:dyDescent="0.3">
      <c r="A990" s="67">
        <v>47</v>
      </c>
      <c r="B990" s="68">
        <v>47</v>
      </c>
      <c r="C990" s="68">
        <v>2</v>
      </c>
      <c r="D990" s="68">
        <v>1</v>
      </c>
      <c r="E990" s="68">
        <v>8</v>
      </c>
      <c r="F990" s="68">
        <v>1</v>
      </c>
      <c r="G990" s="69">
        <v>5</v>
      </c>
      <c r="H990" s="68"/>
      <c r="I990" s="69"/>
      <c r="J990" s="69"/>
      <c r="K990" s="70">
        <v>2</v>
      </c>
      <c r="L990" s="68">
        <v>480</v>
      </c>
      <c r="M990" s="71"/>
      <c r="N990" s="72">
        <v>5</v>
      </c>
      <c r="O990" s="84"/>
      <c r="P990" s="73">
        <v>1</v>
      </c>
      <c r="Q990" s="84">
        <v>0</v>
      </c>
      <c r="R990" s="74"/>
      <c r="S990" s="74"/>
      <c r="T990" s="75"/>
      <c r="U990" s="75"/>
      <c r="V990" s="76"/>
      <c r="W990" s="76"/>
      <c r="X990" s="77"/>
      <c r="Y990" s="78">
        <v>0.187</v>
      </c>
      <c r="Z990" s="79"/>
      <c r="AA990" s="69"/>
      <c r="AB990" s="68">
        <v>12.4</v>
      </c>
      <c r="AC990" s="68">
        <v>13.4</v>
      </c>
      <c r="AD990" s="68"/>
      <c r="AE990" s="80"/>
      <c r="AF990" s="80"/>
      <c r="AG990" s="80"/>
      <c r="AH990" s="80"/>
      <c r="AI990" s="81" t="s">
        <v>342</v>
      </c>
      <c r="AJ990" s="81" t="s">
        <v>103</v>
      </c>
      <c r="AK990" s="81">
        <v>2008</v>
      </c>
      <c r="AL990" s="81" t="s">
        <v>104</v>
      </c>
      <c r="AM990" s="81" t="s">
        <v>312</v>
      </c>
    </row>
    <row r="991" spans="1:39" s="82" customFormat="1" x14ac:dyDescent="0.3">
      <c r="A991" s="67">
        <v>15</v>
      </c>
      <c r="B991" s="68">
        <v>15</v>
      </c>
      <c r="C991" s="68">
        <v>1</v>
      </c>
      <c r="D991" s="68">
        <v>1</v>
      </c>
      <c r="E991" s="68">
        <v>8</v>
      </c>
      <c r="F991" s="68">
        <v>1</v>
      </c>
      <c r="G991" s="69">
        <v>5</v>
      </c>
      <c r="H991" s="68"/>
      <c r="I991" s="69"/>
      <c r="J991" s="69"/>
      <c r="K991" s="70">
        <v>2</v>
      </c>
      <c r="L991" s="68">
        <v>300</v>
      </c>
      <c r="M991" s="71"/>
      <c r="N991" s="72">
        <v>5</v>
      </c>
      <c r="O991" s="84">
        <v>300</v>
      </c>
      <c r="P991" s="73"/>
      <c r="Q991" s="84">
        <v>0</v>
      </c>
      <c r="R991" s="74">
        <v>10.5</v>
      </c>
      <c r="S991" s="74">
        <v>0.2</v>
      </c>
      <c r="T991" s="75"/>
      <c r="U991" s="75"/>
      <c r="V991" s="76"/>
      <c r="W991" s="76"/>
      <c r="X991" s="77"/>
      <c r="Y991" s="78">
        <v>0.21099999999999999</v>
      </c>
      <c r="Z991" s="79"/>
      <c r="AA991" s="69"/>
      <c r="AB991" s="68"/>
      <c r="AC991" s="68"/>
      <c r="AD991" s="68"/>
      <c r="AE991" s="80"/>
      <c r="AF991" s="80"/>
      <c r="AG991" s="80"/>
      <c r="AH991" s="80"/>
      <c r="AI991" s="81" t="s">
        <v>309</v>
      </c>
      <c r="AJ991" s="81" t="s">
        <v>103</v>
      </c>
      <c r="AK991" s="81">
        <v>2008</v>
      </c>
      <c r="AL991" s="81" t="s">
        <v>104</v>
      </c>
      <c r="AM991" s="81" t="s">
        <v>121</v>
      </c>
    </row>
    <row r="992" spans="1:39" s="82" customFormat="1" x14ac:dyDescent="0.3">
      <c r="A992" s="67">
        <v>29</v>
      </c>
      <c r="B992" s="68">
        <v>29</v>
      </c>
      <c r="C992" s="68">
        <v>1</v>
      </c>
      <c r="D992" s="68">
        <v>1</v>
      </c>
      <c r="E992" s="68">
        <v>8</v>
      </c>
      <c r="F992" s="68">
        <v>1</v>
      </c>
      <c r="G992" s="69">
        <v>5</v>
      </c>
      <c r="H992" s="68"/>
      <c r="I992" s="69"/>
      <c r="J992" s="69"/>
      <c r="K992" s="70">
        <v>2</v>
      </c>
      <c r="L992" s="68">
        <v>300</v>
      </c>
      <c r="M992" s="71"/>
      <c r="N992" s="72">
        <v>5</v>
      </c>
      <c r="O992" s="84">
        <v>300</v>
      </c>
      <c r="P992" s="73"/>
      <c r="Q992" s="84">
        <v>0</v>
      </c>
      <c r="R992" s="74">
        <v>13</v>
      </c>
      <c r="S992" s="74">
        <v>0.7</v>
      </c>
      <c r="T992" s="75"/>
      <c r="U992" s="75"/>
      <c r="V992" s="76"/>
      <c r="W992" s="76"/>
      <c r="X992" s="77"/>
      <c r="Y992" s="78">
        <v>0.20599999999999999</v>
      </c>
      <c r="Z992" s="79"/>
      <c r="AA992" s="69"/>
      <c r="AB992" s="68"/>
      <c r="AC992" s="68"/>
      <c r="AD992" s="68"/>
      <c r="AE992" s="80"/>
      <c r="AF992" s="80"/>
      <c r="AG992" s="80"/>
      <c r="AH992" s="80"/>
      <c r="AI992" s="81" t="s">
        <v>310</v>
      </c>
      <c r="AJ992" s="81" t="s">
        <v>103</v>
      </c>
      <c r="AK992" s="81">
        <v>2008</v>
      </c>
      <c r="AL992" s="81" t="s">
        <v>104</v>
      </c>
      <c r="AM992" s="81" t="s">
        <v>121</v>
      </c>
    </row>
    <row r="993" spans="1:39" x14ac:dyDescent="0.3">
      <c r="A993" s="1">
        <v>15</v>
      </c>
      <c r="B993" s="68">
        <v>15</v>
      </c>
      <c r="C993" s="68">
        <v>1</v>
      </c>
      <c r="D993" s="2">
        <v>1</v>
      </c>
      <c r="E993" s="2">
        <v>8</v>
      </c>
      <c r="F993" s="2">
        <v>1</v>
      </c>
      <c r="G993" s="3">
        <v>5</v>
      </c>
      <c r="K993" s="4">
        <v>2</v>
      </c>
      <c r="L993" s="2">
        <v>300</v>
      </c>
      <c r="N993" s="6">
        <v>5</v>
      </c>
      <c r="O993" s="17">
        <v>300</v>
      </c>
      <c r="Q993" s="84">
        <v>0</v>
      </c>
      <c r="R993" s="74">
        <v>6</v>
      </c>
      <c r="S993" s="74">
        <v>3.4</v>
      </c>
      <c r="X993" s="77"/>
      <c r="Y993" s="12">
        <v>0.33300000000000002</v>
      </c>
      <c r="AI993" s="81" t="s">
        <v>308</v>
      </c>
      <c r="AJ993" s="81" t="s">
        <v>103</v>
      </c>
      <c r="AK993" s="15">
        <v>2008</v>
      </c>
      <c r="AL993" s="81" t="s">
        <v>104</v>
      </c>
      <c r="AM993" s="15" t="s">
        <v>121</v>
      </c>
    </row>
    <row r="994" spans="1:39" s="82" customFormat="1" x14ac:dyDescent="0.3">
      <c r="A994" s="67">
        <v>51</v>
      </c>
      <c r="B994" s="68">
        <v>51</v>
      </c>
      <c r="C994" s="68">
        <v>1</v>
      </c>
      <c r="D994" s="68">
        <v>1</v>
      </c>
      <c r="E994" s="68">
        <v>8</v>
      </c>
      <c r="F994" s="68">
        <v>1</v>
      </c>
      <c r="G994" s="69">
        <v>5</v>
      </c>
      <c r="H994" s="68"/>
      <c r="I994" s="69"/>
      <c r="J994" s="69"/>
      <c r="K994" s="70">
        <v>2</v>
      </c>
      <c r="L994" s="68">
        <v>300</v>
      </c>
      <c r="M994" s="71"/>
      <c r="N994" s="72">
        <v>5</v>
      </c>
      <c r="O994" s="84"/>
      <c r="P994" s="73">
        <v>1</v>
      </c>
      <c r="Q994" s="84">
        <v>0</v>
      </c>
      <c r="R994" s="74"/>
      <c r="S994" s="74"/>
      <c r="T994" s="75"/>
      <c r="U994" s="75"/>
      <c r="V994" s="76"/>
      <c r="W994" s="76"/>
      <c r="X994" s="77"/>
      <c r="Y994" s="78">
        <v>0.24399999999999999</v>
      </c>
      <c r="Z994" s="79"/>
      <c r="AA994" s="69"/>
      <c r="AB994" s="68">
        <v>12.3</v>
      </c>
      <c r="AC994" s="68">
        <v>27</v>
      </c>
      <c r="AD994" s="68"/>
      <c r="AE994" s="80"/>
      <c r="AF994" s="80"/>
      <c r="AG994" s="80"/>
      <c r="AH994" s="80"/>
      <c r="AI994" s="81" t="s">
        <v>341</v>
      </c>
      <c r="AJ994" s="81" t="s">
        <v>103</v>
      </c>
      <c r="AK994" s="81">
        <v>2008</v>
      </c>
      <c r="AL994" s="81" t="s">
        <v>104</v>
      </c>
      <c r="AM994" s="81" t="s">
        <v>311</v>
      </c>
    </row>
    <row r="995" spans="1:39" s="82" customFormat="1" x14ac:dyDescent="0.3">
      <c r="A995" s="67">
        <v>52</v>
      </c>
      <c r="B995" s="68">
        <v>52</v>
      </c>
      <c r="C995" s="68">
        <v>1</v>
      </c>
      <c r="D995" s="68">
        <v>1</v>
      </c>
      <c r="E995" s="68">
        <v>8</v>
      </c>
      <c r="F995" s="68">
        <v>1</v>
      </c>
      <c r="G995" s="69">
        <v>5</v>
      </c>
      <c r="H995" s="68"/>
      <c r="I995" s="69"/>
      <c r="J995" s="69"/>
      <c r="K995" s="70">
        <v>2</v>
      </c>
      <c r="L995" s="68">
        <v>300</v>
      </c>
      <c r="M995" s="71"/>
      <c r="N995" s="72">
        <v>5</v>
      </c>
      <c r="O995" s="84"/>
      <c r="P995" s="73">
        <v>1</v>
      </c>
      <c r="Q995" s="84">
        <v>0</v>
      </c>
      <c r="R995" s="74"/>
      <c r="S995" s="74"/>
      <c r="T995" s="75"/>
      <c r="U995" s="75"/>
      <c r="V995" s="76"/>
      <c r="W995" s="76"/>
      <c r="X995" s="77"/>
      <c r="Y995" s="78">
        <v>7.6999999999999999E-2</v>
      </c>
      <c r="Z995" s="79"/>
      <c r="AA995" s="69"/>
      <c r="AB995" s="68">
        <v>14</v>
      </c>
      <c r="AC995" s="68">
        <v>16</v>
      </c>
      <c r="AD995" s="68"/>
      <c r="AE995" s="80"/>
      <c r="AF995" s="80"/>
      <c r="AG995" s="80"/>
      <c r="AH995" s="80"/>
      <c r="AI995" s="81" t="s">
        <v>340</v>
      </c>
      <c r="AJ995" s="81" t="s">
        <v>103</v>
      </c>
      <c r="AK995" s="81">
        <v>2008</v>
      </c>
      <c r="AL995" s="81" t="s">
        <v>104</v>
      </c>
      <c r="AM995" s="81"/>
    </row>
    <row r="996" spans="1:39" s="82" customFormat="1" x14ac:dyDescent="0.3">
      <c r="A996" s="67">
        <v>47</v>
      </c>
      <c r="B996" s="68">
        <v>47</v>
      </c>
      <c r="C996" s="68">
        <v>2</v>
      </c>
      <c r="D996" s="68">
        <v>1</v>
      </c>
      <c r="E996" s="68">
        <v>32</v>
      </c>
      <c r="F996" s="68">
        <v>1</v>
      </c>
      <c r="G996" s="69">
        <v>5.8</v>
      </c>
      <c r="H996" s="68"/>
      <c r="I996" s="69"/>
      <c r="J996" s="69"/>
      <c r="K996" s="70">
        <v>3</v>
      </c>
      <c r="L996" s="68">
        <v>480</v>
      </c>
      <c r="M996" s="71"/>
      <c r="N996" s="72">
        <v>5.8</v>
      </c>
      <c r="O996" s="84"/>
      <c r="P996" s="73">
        <v>1</v>
      </c>
      <c r="Q996" s="84">
        <v>0</v>
      </c>
      <c r="R996" s="74"/>
      <c r="S996" s="74"/>
      <c r="T996" s="75"/>
      <c r="U996" s="75"/>
      <c r="V996" s="76"/>
      <c r="W996" s="76"/>
      <c r="X996" s="77"/>
      <c r="Y996" s="78">
        <v>0.253</v>
      </c>
      <c r="Z996" s="79"/>
      <c r="AA996" s="69"/>
      <c r="AB996" s="68">
        <v>20.9</v>
      </c>
      <c r="AC996" s="68">
        <v>59</v>
      </c>
      <c r="AD996" s="68"/>
      <c r="AE996" s="80"/>
      <c r="AF996" s="80"/>
      <c r="AG996" s="80"/>
      <c r="AH996" s="80"/>
      <c r="AI996" s="81" t="s">
        <v>342</v>
      </c>
      <c r="AJ996" s="81" t="s">
        <v>103</v>
      </c>
      <c r="AK996" s="81">
        <v>2008</v>
      </c>
      <c r="AL996" s="81" t="s">
        <v>104</v>
      </c>
      <c r="AM996" s="81" t="s">
        <v>312</v>
      </c>
    </row>
    <row r="997" spans="1:39" s="82" customFormat="1" x14ac:dyDescent="0.3">
      <c r="A997" s="67">
        <v>15</v>
      </c>
      <c r="B997" s="68">
        <v>15</v>
      </c>
      <c r="C997" s="68">
        <v>1</v>
      </c>
      <c r="D997" s="68">
        <v>1</v>
      </c>
      <c r="E997" s="68">
        <v>32</v>
      </c>
      <c r="F997" s="68">
        <v>1</v>
      </c>
      <c r="G997" s="69">
        <v>5.8</v>
      </c>
      <c r="H997" s="68"/>
      <c r="I997" s="69"/>
      <c r="J997" s="69"/>
      <c r="K997" s="70">
        <v>3</v>
      </c>
      <c r="L997" s="68">
        <v>300</v>
      </c>
      <c r="M997" s="71"/>
      <c r="N997" s="72">
        <v>5.8</v>
      </c>
      <c r="O997" s="84">
        <v>300</v>
      </c>
      <c r="P997" s="73"/>
      <c r="Q997" s="84">
        <v>0</v>
      </c>
      <c r="R997" s="74">
        <v>10.5</v>
      </c>
      <c r="S997" s="74">
        <v>0.2</v>
      </c>
      <c r="T997" s="75"/>
      <c r="U997" s="75"/>
      <c r="V997" s="76"/>
      <c r="W997" s="76"/>
      <c r="X997" s="77"/>
      <c r="Y997" s="78">
        <v>0.313</v>
      </c>
      <c r="Z997" s="79"/>
      <c r="AA997" s="69"/>
      <c r="AB997" s="68"/>
      <c r="AC997" s="68"/>
      <c r="AD997" s="68"/>
      <c r="AE997" s="80"/>
      <c r="AF997" s="80"/>
      <c r="AG997" s="80"/>
      <c r="AH997" s="80"/>
      <c r="AI997" s="81" t="s">
        <v>309</v>
      </c>
      <c r="AJ997" s="81" t="s">
        <v>103</v>
      </c>
      <c r="AK997" s="81">
        <v>2008</v>
      </c>
      <c r="AL997" s="81" t="s">
        <v>104</v>
      </c>
      <c r="AM997" s="81" t="s">
        <v>121</v>
      </c>
    </row>
    <row r="998" spans="1:39" x14ac:dyDescent="0.3">
      <c r="A998" s="67">
        <v>29</v>
      </c>
      <c r="B998" s="68">
        <v>29</v>
      </c>
      <c r="C998" s="68">
        <v>1</v>
      </c>
      <c r="D998" s="2">
        <v>1</v>
      </c>
      <c r="E998" s="2">
        <v>32</v>
      </c>
      <c r="F998" s="2">
        <v>1</v>
      </c>
      <c r="G998" s="3">
        <v>5.8</v>
      </c>
      <c r="K998" s="4">
        <v>3</v>
      </c>
      <c r="L998" s="2">
        <v>300</v>
      </c>
      <c r="N998" s="6">
        <v>5.8</v>
      </c>
      <c r="O998" s="84">
        <v>300</v>
      </c>
      <c r="P998" s="73"/>
      <c r="Q998" s="84">
        <v>0</v>
      </c>
      <c r="R998" s="74">
        <v>13</v>
      </c>
      <c r="S998" s="74">
        <v>0.7</v>
      </c>
      <c r="X998" s="77"/>
      <c r="Y998" s="12">
        <v>0.111</v>
      </c>
      <c r="AI998" s="81" t="s">
        <v>310</v>
      </c>
      <c r="AJ998" s="81" t="s">
        <v>103</v>
      </c>
      <c r="AK998" s="81">
        <v>2008</v>
      </c>
      <c r="AL998" s="81" t="s">
        <v>104</v>
      </c>
      <c r="AM998" s="15" t="s">
        <v>121</v>
      </c>
    </row>
    <row r="999" spans="1:39" s="82" customFormat="1" x14ac:dyDescent="0.3">
      <c r="A999" s="67">
        <v>15</v>
      </c>
      <c r="B999" s="68">
        <v>15</v>
      </c>
      <c r="C999" s="68">
        <v>1</v>
      </c>
      <c r="D999" s="68">
        <v>1</v>
      </c>
      <c r="E999" s="68">
        <v>32</v>
      </c>
      <c r="F999" s="68">
        <v>1</v>
      </c>
      <c r="G999" s="69">
        <v>5.8</v>
      </c>
      <c r="H999" s="68"/>
      <c r="I999" s="69"/>
      <c r="J999" s="69"/>
      <c r="K999" s="70">
        <v>3</v>
      </c>
      <c r="L999" s="68">
        <v>300</v>
      </c>
      <c r="M999" s="71"/>
      <c r="N999" s="72">
        <v>5.8</v>
      </c>
      <c r="O999" s="84">
        <v>300</v>
      </c>
      <c r="P999" s="73"/>
      <c r="Q999" s="84">
        <v>0</v>
      </c>
      <c r="R999" s="74">
        <v>6</v>
      </c>
      <c r="S999" s="74">
        <v>3.4</v>
      </c>
      <c r="T999" s="75"/>
      <c r="U999" s="75"/>
      <c r="V999" s="76"/>
      <c r="W999" s="76"/>
      <c r="X999" s="77"/>
      <c r="Y999" s="78">
        <v>0.625</v>
      </c>
      <c r="Z999" s="79"/>
      <c r="AA999" s="69"/>
      <c r="AB999" s="68"/>
      <c r="AC999" s="68"/>
      <c r="AD999" s="68"/>
      <c r="AE999" s="80"/>
      <c r="AF999" s="80"/>
      <c r="AG999" s="80"/>
      <c r="AH999" s="80"/>
      <c r="AI999" s="81" t="s">
        <v>308</v>
      </c>
      <c r="AJ999" s="81" t="s">
        <v>103</v>
      </c>
      <c r="AK999" s="81">
        <v>2008</v>
      </c>
      <c r="AL999" s="81" t="s">
        <v>104</v>
      </c>
      <c r="AM999" s="81" t="s">
        <v>121</v>
      </c>
    </row>
    <row r="1000" spans="1:39" s="82" customFormat="1" x14ac:dyDescent="0.3">
      <c r="A1000" s="67">
        <v>51</v>
      </c>
      <c r="B1000" s="68">
        <v>51</v>
      </c>
      <c r="C1000" s="68">
        <v>1</v>
      </c>
      <c r="D1000" s="68">
        <v>1</v>
      </c>
      <c r="E1000" s="68">
        <v>32</v>
      </c>
      <c r="F1000" s="68">
        <v>1</v>
      </c>
      <c r="G1000" s="69">
        <v>5.8</v>
      </c>
      <c r="H1000" s="68"/>
      <c r="I1000" s="69"/>
      <c r="J1000" s="69"/>
      <c r="K1000" s="70">
        <v>3</v>
      </c>
      <c r="L1000" s="68">
        <v>300</v>
      </c>
      <c r="M1000" s="71"/>
      <c r="N1000" s="72">
        <v>5.8</v>
      </c>
      <c r="O1000" s="84"/>
      <c r="P1000" s="73">
        <v>1</v>
      </c>
      <c r="Q1000" s="84">
        <v>0</v>
      </c>
      <c r="R1000" s="74"/>
      <c r="S1000" s="74"/>
      <c r="T1000" s="75"/>
      <c r="U1000" s="75"/>
      <c r="V1000" s="76"/>
      <c r="W1000" s="76"/>
      <c r="X1000" s="77"/>
      <c r="Y1000" s="78">
        <v>0.26800000000000002</v>
      </c>
      <c r="Z1000" s="79"/>
      <c r="AA1000" s="69"/>
      <c r="AB1000" s="68">
        <v>22.2</v>
      </c>
      <c r="AC1000" s="68">
        <v>24</v>
      </c>
      <c r="AD1000" s="68"/>
      <c r="AE1000" s="80"/>
      <c r="AF1000" s="80"/>
      <c r="AG1000" s="80"/>
      <c r="AH1000" s="80"/>
      <c r="AI1000" s="81" t="s">
        <v>341</v>
      </c>
      <c r="AJ1000" s="81" t="s">
        <v>103</v>
      </c>
      <c r="AK1000" s="81">
        <v>2008</v>
      </c>
      <c r="AL1000" s="81" t="s">
        <v>104</v>
      </c>
      <c r="AM1000" s="81" t="s">
        <v>311</v>
      </c>
    </row>
    <row r="1001" spans="1:39" s="82" customFormat="1" x14ac:dyDescent="0.3">
      <c r="A1001" s="67">
        <v>52</v>
      </c>
      <c r="B1001" s="68">
        <v>52</v>
      </c>
      <c r="C1001" s="68">
        <v>1</v>
      </c>
      <c r="D1001" s="68">
        <v>1</v>
      </c>
      <c r="E1001" s="68">
        <v>32</v>
      </c>
      <c r="F1001" s="68">
        <v>1</v>
      </c>
      <c r="G1001" s="69">
        <v>5.8</v>
      </c>
      <c r="H1001" s="68"/>
      <c r="I1001" s="69"/>
      <c r="J1001" s="69"/>
      <c r="K1001" s="70">
        <v>3</v>
      </c>
      <c r="L1001" s="68">
        <v>300</v>
      </c>
      <c r="M1001" s="71"/>
      <c r="N1001" s="72">
        <v>5.8</v>
      </c>
      <c r="O1001" s="84"/>
      <c r="P1001" s="73">
        <v>1</v>
      </c>
      <c r="Q1001" s="84">
        <v>0</v>
      </c>
      <c r="R1001" s="74"/>
      <c r="S1001" s="74"/>
      <c r="T1001" s="75"/>
      <c r="U1001" s="75"/>
      <c r="V1001" s="76"/>
      <c r="W1001" s="76"/>
      <c r="X1001" s="77"/>
      <c r="Y1001" s="78">
        <v>0.25</v>
      </c>
      <c r="Z1001" s="79"/>
      <c r="AA1001" s="69"/>
      <c r="AB1001" s="68">
        <v>17.5</v>
      </c>
      <c r="AC1001" s="68">
        <v>25</v>
      </c>
      <c r="AD1001" s="68"/>
      <c r="AE1001" s="80"/>
      <c r="AF1001" s="80"/>
      <c r="AG1001" s="80"/>
      <c r="AH1001" s="80"/>
      <c r="AI1001" s="81" t="s">
        <v>340</v>
      </c>
      <c r="AJ1001" s="81" t="s">
        <v>103</v>
      </c>
      <c r="AK1001" s="81">
        <v>2008</v>
      </c>
      <c r="AL1001" s="81" t="s">
        <v>104</v>
      </c>
      <c r="AM1001" s="81"/>
    </row>
    <row r="1002" spans="1:39" x14ac:dyDescent="0.3">
      <c r="A1002" s="67">
        <v>255</v>
      </c>
      <c r="B1002" s="68">
        <v>255</v>
      </c>
      <c r="D1002" s="2">
        <v>0</v>
      </c>
      <c r="F1002" s="2">
        <v>0</v>
      </c>
      <c r="K1002" s="4">
        <v>1</v>
      </c>
      <c r="L1002" s="68">
        <v>730</v>
      </c>
      <c r="N1002" s="6">
        <v>5.5</v>
      </c>
      <c r="O1002" s="84">
        <v>730</v>
      </c>
      <c r="P1002" s="73">
        <v>0</v>
      </c>
      <c r="R1002" s="74">
        <v>0</v>
      </c>
      <c r="S1002" s="74">
        <v>0</v>
      </c>
      <c r="V1002" s="10">
        <f>(0.926*54+0.912*228+0.834*84)/(54+228+84)</f>
        <v>0.89616393442622944</v>
      </c>
      <c r="W1002" s="10">
        <f>(0.926*54+0.912*228+0.834*84)/(54+228+84)</f>
        <v>0.89616393442622944</v>
      </c>
      <c r="X1002" s="11">
        <v>760</v>
      </c>
      <c r="Y1002" s="12">
        <v>0.95199999999999996</v>
      </c>
      <c r="AB1002" s="68"/>
      <c r="AC1002" s="68"/>
      <c r="AI1002" s="81" t="s">
        <v>478</v>
      </c>
      <c r="AJ1002" s="81" t="s">
        <v>477</v>
      </c>
      <c r="AK1002" s="81">
        <v>1966</v>
      </c>
      <c r="AL1002" s="81" t="s">
        <v>151</v>
      </c>
    </row>
    <row r="1003" spans="1:39" s="82" customFormat="1" x14ac:dyDescent="0.3">
      <c r="A1003" s="67">
        <v>263</v>
      </c>
      <c r="B1003" s="68">
        <v>263</v>
      </c>
      <c r="C1003" s="68"/>
      <c r="D1003" s="68">
        <v>0</v>
      </c>
      <c r="E1003" s="68"/>
      <c r="F1003" s="68">
        <v>1</v>
      </c>
      <c r="G1003" s="69"/>
      <c r="H1003" s="68"/>
      <c r="I1003" s="69"/>
      <c r="J1003" s="69"/>
      <c r="K1003" s="70">
        <v>2</v>
      </c>
      <c r="L1003" s="68">
        <v>790</v>
      </c>
      <c r="M1003" s="71"/>
      <c r="N1003" s="72">
        <v>5.5</v>
      </c>
      <c r="O1003" s="84">
        <v>790</v>
      </c>
      <c r="P1003" s="73">
        <f>(0.223*45+0.297*182+0.576*59)/(45+182+59)</f>
        <v>0.3429125874125874</v>
      </c>
      <c r="Q1003" s="84"/>
      <c r="R1003" s="74"/>
      <c r="S1003" s="74"/>
      <c r="T1003" s="75"/>
      <c r="U1003" s="75"/>
      <c r="V1003" s="76"/>
      <c r="W1003" s="76">
        <f>(0.667*27+0.809*162+0.924*79)/(27+162+79)</f>
        <v>0.82859328358208961</v>
      </c>
      <c r="X1003" s="77">
        <v>820</v>
      </c>
      <c r="Y1003" s="78">
        <v>0.52200000000000002</v>
      </c>
      <c r="Z1003" s="79"/>
      <c r="AA1003" s="69"/>
      <c r="AB1003" s="68"/>
      <c r="AC1003" s="68"/>
      <c r="AD1003" s="68"/>
      <c r="AE1003" s="80"/>
      <c r="AF1003" s="80"/>
      <c r="AG1003" s="80"/>
      <c r="AH1003" s="80"/>
      <c r="AI1003" s="81" t="s">
        <v>478</v>
      </c>
      <c r="AJ1003" s="81" t="s">
        <v>477</v>
      </c>
      <c r="AK1003" s="81">
        <v>1966</v>
      </c>
      <c r="AL1003" s="81" t="s">
        <v>151</v>
      </c>
      <c r="AM1003" s="81" t="s">
        <v>479</v>
      </c>
    </row>
    <row r="1004" spans="1:39" x14ac:dyDescent="0.3">
      <c r="A1004" s="1">
        <v>222</v>
      </c>
      <c r="B1004" s="2">
        <v>222</v>
      </c>
      <c r="D1004" s="2">
        <v>0</v>
      </c>
      <c r="F1004" s="2">
        <v>1</v>
      </c>
      <c r="K1004" s="4">
        <v>3</v>
      </c>
      <c r="L1004" s="2">
        <v>760</v>
      </c>
      <c r="N1004" s="6">
        <v>5.5</v>
      </c>
      <c r="O1004" s="17">
        <v>760</v>
      </c>
      <c r="P1004" s="7">
        <f>(0.093*54+0.098*245+0.238*84)/(54+245+84)</f>
        <v>0.128</v>
      </c>
      <c r="W1004" s="10">
        <f>(0.724*47+0.826*190+0.819*66)/(47+190+66)</f>
        <v>0.80865346534653459</v>
      </c>
      <c r="X1004" s="11">
        <v>790</v>
      </c>
      <c r="Y1004" s="12">
        <v>0.86699999999999999</v>
      </c>
      <c r="AI1004" s="81" t="s">
        <v>478</v>
      </c>
      <c r="AJ1004" s="81" t="s">
        <v>477</v>
      </c>
      <c r="AK1004" s="15">
        <v>1966</v>
      </c>
      <c r="AL1004" s="81" t="s">
        <v>151</v>
      </c>
    </row>
    <row r="1005" spans="1:39" x14ac:dyDescent="0.3">
      <c r="A1005" s="1">
        <v>38</v>
      </c>
      <c r="B1005" s="2">
        <v>38</v>
      </c>
      <c r="D1005" s="2">
        <v>0</v>
      </c>
      <c r="F1005" s="2">
        <v>1</v>
      </c>
      <c r="G1005" s="3">
        <v>4</v>
      </c>
      <c r="K1005" s="4">
        <v>1</v>
      </c>
      <c r="L1005" s="68">
        <v>2520</v>
      </c>
      <c r="N1005" s="6">
        <v>5.7</v>
      </c>
      <c r="P1005" s="7">
        <v>0</v>
      </c>
      <c r="Y1005" s="12">
        <v>0.77</v>
      </c>
      <c r="AB1005" s="2">
        <v>19</v>
      </c>
      <c r="AC1005" s="2">
        <v>53</v>
      </c>
      <c r="AI1005" s="81" t="s">
        <v>236</v>
      </c>
      <c r="AJ1005" s="81" t="s">
        <v>235</v>
      </c>
      <c r="AK1005" s="81">
        <v>1959</v>
      </c>
      <c r="AL1005" s="81" t="s">
        <v>179</v>
      </c>
      <c r="AM1005" s="15" t="s">
        <v>240</v>
      </c>
    </row>
    <row r="1006" spans="1:39" x14ac:dyDescent="0.3">
      <c r="A1006" s="1">
        <v>26</v>
      </c>
      <c r="B1006" s="2">
        <v>26</v>
      </c>
      <c r="D1006" s="2">
        <v>1</v>
      </c>
      <c r="E1006" s="2">
        <v>20</v>
      </c>
      <c r="F1006" s="2">
        <v>1</v>
      </c>
      <c r="G1006" s="3">
        <v>4</v>
      </c>
      <c r="K1006" s="4">
        <v>1</v>
      </c>
      <c r="L1006" s="68">
        <v>2520</v>
      </c>
      <c r="N1006" s="6">
        <v>5.7</v>
      </c>
      <c r="Y1006" s="12">
        <v>0.31</v>
      </c>
      <c r="AB1006" s="2">
        <v>12</v>
      </c>
      <c r="AC1006" s="2">
        <v>47</v>
      </c>
      <c r="AI1006" s="81" t="s">
        <v>237</v>
      </c>
      <c r="AJ1006" s="81" t="s">
        <v>235</v>
      </c>
      <c r="AK1006" s="81">
        <v>1959</v>
      </c>
      <c r="AL1006" s="81" t="s">
        <v>179</v>
      </c>
      <c r="AM1006" s="15" t="s">
        <v>241</v>
      </c>
    </row>
    <row r="1007" spans="1:39" x14ac:dyDescent="0.3">
      <c r="A1007" s="1">
        <v>4</v>
      </c>
      <c r="B1007" s="2">
        <v>4</v>
      </c>
      <c r="D1007" s="2">
        <v>0</v>
      </c>
      <c r="F1007" s="2">
        <v>1</v>
      </c>
      <c r="G1007" s="3">
        <v>4</v>
      </c>
      <c r="K1007" s="4">
        <v>1</v>
      </c>
      <c r="L1007" s="68">
        <v>12775</v>
      </c>
      <c r="N1007" s="6">
        <v>5.7</v>
      </c>
      <c r="P1007" s="7">
        <v>0</v>
      </c>
      <c r="Y1007" s="12">
        <v>0.5</v>
      </c>
      <c r="AB1007" s="2">
        <v>11</v>
      </c>
      <c r="AC1007" s="2">
        <v>0.26030820491461892</v>
      </c>
      <c r="AI1007" s="81" t="s">
        <v>238</v>
      </c>
      <c r="AJ1007" s="81" t="s">
        <v>235</v>
      </c>
      <c r="AK1007" s="81">
        <v>1959</v>
      </c>
      <c r="AL1007" s="81" t="s">
        <v>179</v>
      </c>
      <c r="AM1007" s="15" t="s">
        <v>242</v>
      </c>
    </row>
    <row r="1008" spans="1:39" x14ac:dyDescent="0.3">
      <c r="A1008" s="1">
        <v>10</v>
      </c>
      <c r="B1008" s="2">
        <v>10</v>
      </c>
      <c r="D1008" s="2">
        <v>0</v>
      </c>
      <c r="F1008" s="2">
        <v>1</v>
      </c>
      <c r="G1008" s="3">
        <v>4</v>
      </c>
      <c r="K1008" s="4">
        <v>1</v>
      </c>
      <c r="L1008" s="68">
        <v>12775</v>
      </c>
      <c r="N1008" s="6">
        <v>5.7</v>
      </c>
      <c r="Y1008" s="12">
        <v>0.2</v>
      </c>
      <c r="AB1008" s="2">
        <v>10</v>
      </c>
      <c r="AC1008" s="2">
        <v>1</v>
      </c>
      <c r="AI1008" s="81" t="s">
        <v>239</v>
      </c>
      <c r="AJ1008" s="81" t="s">
        <v>235</v>
      </c>
      <c r="AK1008" s="81">
        <v>1959</v>
      </c>
      <c r="AL1008" s="81" t="s">
        <v>179</v>
      </c>
      <c r="AM1008" s="15" t="s">
        <v>242</v>
      </c>
    </row>
    <row r="1009" spans="1:39" x14ac:dyDescent="0.3">
      <c r="A1009" s="1">
        <v>0</v>
      </c>
      <c r="B1009" s="2">
        <v>42</v>
      </c>
      <c r="D1009" s="2">
        <v>0</v>
      </c>
      <c r="F1009" s="2">
        <v>1</v>
      </c>
      <c r="G1009" s="3">
        <v>4</v>
      </c>
      <c r="K1009" s="4">
        <v>1</v>
      </c>
      <c r="L1009" s="68">
        <v>7200</v>
      </c>
      <c r="N1009" s="6">
        <v>5.7</v>
      </c>
      <c r="P1009" s="7">
        <v>0</v>
      </c>
      <c r="Y1009" s="12">
        <v>0.73799999999999999</v>
      </c>
      <c r="AI1009" s="81" t="s">
        <v>243</v>
      </c>
      <c r="AJ1009" s="81" t="s">
        <v>235</v>
      </c>
      <c r="AK1009" s="81">
        <v>1959</v>
      </c>
      <c r="AL1009" s="81" t="s">
        <v>179</v>
      </c>
      <c r="AM1009" s="15" t="s">
        <v>266</v>
      </c>
    </row>
    <row r="1010" spans="1:39" x14ac:dyDescent="0.3">
      <c r="A1010" s="1">
        <v>0</v>
      </c>
      <c r="B1010" s="2">
        <v>36</v>
      </c>
      <c r="D1010" s="2">
        <v>1</v>
      </c>
      <c r="E1010" s="2">
        <v>20</v>
      </c>
      <c r="F1010" s="2">
        <v>1</v>
      </c>
      <c r="G1010" s="3">
        <v>4</v>
      </c>
      <c r="K1010" s="4">
        <v>1</v>
      </c>
      <c r="L1010" s="68">
        <v>7200</v>
      </c>
      <c r="N1010" s="6">
        <v>5.7</v>
      </c>
      <c r="Y1010" s="12">
        <v>0.77800000000000002</v>
      </c>
      <c r="AI1010" s="81" t="s">
        <v>244</v>
      </c>
      <c r="AJ1010" s="81" t="s">
        <v>235</v>
      </c>
      <c r="AK1010" s="81">
        <v>1959</v>
      </c>
      <c r="AL1010" s="81" t="s">
        <v>179</v>
      </c>
      <c r="AM1010" s="15" t="s">
        <v>266</v>
      </c>
    </row>
    <row r="1011" spans="1:39" x14ac:dyDescent="0.3">
      <c r="A1011" s="1">
        <v>36</v>
      </c>
      <c r="B1011" s="2">
        <v>36</v>
      </c>
      <c r="D1011" s="2">
        <v>0</v>
      </c>
      <c r="F1011" s="2">
        <v>1</v>
      </c>
      <c r="G1011" s="3">
        <v>4</v>
      </c>
      <c r="K1011" s="4">
        <v>2</v>
      </c>
      <c r="L1011" s="68">
        <f>2520+21*2</f>
        <v>2562</v>
      </c>
      <c r="N1011" s="6">
        <v>5.7</v>
      </c>
      <c r="P1011" s="7">
        <v>0</v>
      </c>
      <c r="Y1011" s="12">
        <v>0.78</v>
      </c>
      <c r="AB1011" s="2">
        <v>19</v>
      </c>
      <c r="AC1011" s="2">
        <v>120</v>
      </c>
      <c r="AI1011" s="81" t="s">
        <v>236</v>
      </c>
      <c r="AJ1011" s="81" t="s">
        <v>235</v>
      </c>
      <c r="AK1011" s="81">
        <v>1959</v>
      </c>
      <c r="AL1011" s="81" t="s">
        <v>179</v>
      </c>
      <c r="AM1011" s="15" t="s">
        <v>240</v>
      </c>
    </row>
    <row r="1012" spans="1:39" x14ac:dyDescent="0.3">
      <c r="A1012" s="1">
        <v>24</v>
      </c>
      <c r="B1012" s="2">
        <v>24</v>
      </c>
      <c r="D1012" s="2">
        <v>1</v>
      </c>
      <c r="E1012" s="2">
        <v>2</v>
      </c>
      <c r="F1012" s="2">
        <v>1</v>
      </c>
      <c r="G1012" s="3">
        <v>4</v>
      </c>
      <c r="K1012" s="4">
        <v>2</v>
      </c>
      <c r="L1012" s="68">
        <f>2520+21*2</f>
        <v>2562</v>
      </c>
      <c r="N1012" s="6">
        <v>5.7</v>
      </c>
      <c r="Y1012" s="12">
        <v>0.37</v>
      </c>
      <c r="AB1012" s="2">
        <v>16</v>
      </c>
      <c r="AC1012" s="2">
        <v>59</v>
      </c>
      <c r="AI1012" s="81" t="s">
        <v>237</v>
      </c>
      <c r="AJ1012" s="81" t="s">
        <v>235</v>
      </c>
      <c r="AK1012" s="81">
        <v>1959</v>
      </c>
      <c r="AL1012" s="81" t="s">
        <v>179</v>
      </c>
      <c r="AM1012" s="15" t="s">
        <v>241</v>
      </c>
    </row>
    <row r="1013" spans="1:39" s="82" customFormat="1" x14ac:dyDescent="0.3">
      <c r="A1013" s="67">
        <v>4</v>
      </c>
      <c r="B1013" s="68">
        <v>4</v>
      </c>
      <c r="C1013" s="68"/>
      <c r="D1013" s="68">
        <v>0</v>
      </c>
      <c r="E1013" s="68"/>
      <c r="F1013" s="68">
        <v>1</v>
      </c>
      <c r="G1013" s="69">
        <v>4</v>
      </c>
      <c r="H1013" s="68"/>
      <c r="I1013" s="69"/>
      <c r="J1013" s="69"/>
      <c r="K1013" s="70">
        <v>2</v>
      </c>
      <c r="L1013" s="68">
        <f>12775+21*2</f>
        <v>12817</v>
      </c>
      <c r="M1013" s="71"/>
      <c r="N1013" s="72">
        <v>5.7</v>
      </c>
      <c r="O1013" s="84"/>
      <c r="P1013" s="73">
        <v>0</v>
      </c>
      <c r="Q1013" s="84"/>
      <c r="R1013" s="74"/>
      <c r="S1013" s="74"/>
      <c r="T1013" s="75"/>
      <c r="U1013" s="75"/>
      <c r="V1013" s="76"/>
      <c r="W1013" s="76"/>
      <c r="X1013" s="77"/>
      <c r="Y1013" s="78">
        <v>0.25</v>
      </c>
      <c r="Z1013" s="79"/>
      <c r="AA1013" s="69"/>
      <c r="AB1013" s="68">
        <v>8</v>
      </c>
      <c r="AC1013" s="68">
        <v>0</v>
      </c>
      <c r="AD1013" s="68"/>
      <c r="AE1013" s="80"/>
      <c r="AF1013" s="80"/>
      <c r="AG1013" s="80"/>
      <c r="AH1013" s="80"/>
      <c r="AI1013" s="81" t="s">
        <v>238</v>
      </c>
      <c r="AJ1013" s="81" t="s">
        <v>235</v>
      </c>
      <c r="AK1013" s="81">
        <v>1959</v>
      </c>
      <c r="AL1013" s="81" t="s">
        <v>179</v>
      </c>
      <c r="AM1013" s="81" t="s">
        <v>242</v>
      </c>
    </row>
    <row r="1014" spans="1:39" s="82" customFormat="1" x14ac:dyDescent="0.3">
      <c r="A1014" s="67">
        <v>10</v>
      </c>
      <c r="B1014" s="68">
        <v>10</v>
      </c>
      <c r="C1014" s="68"/>
      <c r="D1014" s="68">
        <v>0</v>
      </c>
      <c r="E1014" s="68"/>
      <c r="F1014" s="68">
        <v>1</v>
      </c>
      <c r="G1014" s="69">
        <v>4</v>
      </c>
      <c r="H1014" s="68"/>
      <c r="I1014" s="69"/>
      <c r="J1014" s="69"/>
      <c r="K1014" s="70">
        <v>2</v>
      </c>
      <c r="L1014" s="68">
        <f>12775+21*2</f>
        <v>12817</v>
      </c>
      <c r="M1014" s="71"/>
      <c r="N1014" s="72">
        <v>5.7</v>
      </c>
      <c r="O1014" s="84"/>
      <c r="P1014" s="73"/>
      <c r="Q1014" s="84"/>
      <c r="R1014" s="74"/>
      <c r="S1014" s="74"/>
      <c r="T1014" s="75"/>
      <c r="U1014" s="75"/>
      <c r="V1014" s="76"/>
      <c r="W1014" s="76"/>
      <c r="X1014" s="77"/>
      <c r="Y1014" s="78">
        <v>0.1</v>
      </c>
      <c r="Z1014" s="79"/>
      <c r="AA1014" s="69"/>
      <c r="AB1014" s="68">
        <v>10</v>
      </c>
      <c r="AC1014" s="68">
        <v>0</v>
      </c>
      <c r="AD1014" s="68"/>
      <c r="AE1014" s="80"/>
      <c r="AF1014" s="80"/>
      <c r="AG1014" s="80"/>
      <c r="AH1014" s="80"/>
      <c r="AI1014" s="81" t="s">
        <v>239</v>
      </c>
      <c r="AJ1014" s="81" t="s">
        <v>235</v>
      </c>
      <c r="AK1014" s="81">
        <v>1959</v>
      </c>
      <c r="AL1014" s="81" t="s">
        <v>179</v>
      </c>
      <c r="AM1014" s="81" t="s">
        <v>242</v>
      </c>
    </row>
    <row r="1015" spans="1:39" s="82" customFormat="1" x14ac:dyDescent="0.3">
      <c r="A1015" s="67">
        <v>0</v>
      </c>
      <c r="B1015" s="68">
        <v>40</v>
      </c>
      <c r="C1015" s="68"/>
      <c r="D1015" s="68">
        <v>0</v>
      </c>
      <c r="E1015" s="68"/>
      <c r="F1015" s="68">
        <v>1</v>
      </c>
      <c r="G1015" s="69">
        <v>4</v>
      </c>
      <c r="H1015" s="68"/>
      <c r="I1015" s="69"/>
      <c r="J1015" s="69"/>
      <c r="K1015" s="70">
        <v>2</v>
      </c>
      <c r="L1015" s="68">
        <f>7200+42</f>
        <v>7242</v>
      </c>
      <c r="M1015" s="71"/>
      <c r="N1015" s="72">
        <v>5.7</v>
      </c>
      <c r="O1015" s="84"/>
      <c r="P1015" s="73">
        <v>0</v>
      </c>
      <c r="Q1015" s="84"/>
      <c r="R1015" s="74"/>
      <c r="S1015" s="74"/>
      <c r="T1015" s="75"/>
      <c r="U1015" s="75"/>
      <c r="V1015" s="76"/>
      <c r="W1015" s="76"/>
      <c r="X1015" s="77"/>
      <c r="Y1015" s="78">
        <v>0.72499999999999998</v>
      </c>
      <c r="Z1015" s="79"/>
      <c r="AA1015" s="69"/>
      <c r="AB1015" s="68"/>
      <c r="AC1015" s="68"/>
      <c r="AD1015" s="68"/>
      <c r="AE1015" s="80"/>
      <c r="AF1015" s="80"/>
      <c r="AG1015" s="80"/>
      <c r="AH1015" s="80"/>
      <c r="AI1015" s="81" t="s">
        <v>243</v>
      </c>
      <c r="AJ1015" s="81" t="s">
        <v>235</v>
      </c>
      <c r="AK1015" s="81">
        <v>1959</v>
      </c>
      <c r="AL1015" s="81" t="s">
        <v>179</v>
      </c>
      <c r="AM1015" s="81" t="s">
        <v>245</v>
      </c>
    </row>
    <row r="1016" spans="1:39" x14ac:dyDescent="0.3">
      <c r="A1016" s="1">
        <v>0</v>
      </c>
      <c r="B1016" s="68">
        <v>34</v>
      </c>
      <c r="D1016" s="2">
        <v>1</v>
      </c>
      <c r="E1016" s="2">
        <v>2</v>
      </c>
      <c r="F1016" s="2">
        <v>1</v>
      </c>
      <c r="G1016" s="3">
        <v>4</v>
      </c>
      <c r="K1016" s="70">
        <v>2</v>
      </c>
      <c r="L1016" s="68">
        <f>7200+42</f>
        <v>7242</v>
      </c>
      <c r="M1016" s="71"/>
      <c r="N1016" s="72">
        <v>5.7</v>
      </c>
      <c r="Y1016" s="12">
        <v>0.29399999999999998</v>
      </c>
      <c r="AI1016" s="81" t="s">
        <v>244</v>
      </c>
      <c r="AJ1016" s="81" t="s">
        <v>235</v>
      </c>
      <c r="AK1016" s="81">
        <v>1959</v>
      </c>
      <c r="AL1016" s="81" t="s">
        <v>179</v>
      </c>
      <c r="AM1016" s="15" t="s">
        <v>245</v>
      </c>
    </row>
    <row r="1017" spans="1:39" x14ac:dyDescent="0.3">
      <c r="A1017" s="1">
        <v>45</v>
      </c>
      <c r="B1017" s="2">
        <v>45</v>
      </c>
      <c r="D1017" s="2">
        <v>0</v>
      </c>
      <c r="F1017" s="2">
        <v>1</v>
      </c>
      <c r="G1017" s="3">
        <v>4</v>
      </c>
      <c r="J1017" s="69"/>
      <c r="K1017" s="4">
        <v>3</v>
      </c>
      <c r="L1017" s="2">
        <f>2520+21</f>
        <v>2541</v>
      </c>
      <c r="N1017" s="6">
        <v>5.7</v>
      </c>
      <c r="P1017" s="7">
        <v>0</v>
      </c>
      <c r="Y1017" s="12">
        <v>0.96</v>
      </c>
      <c r="AB1017" s="2">
        <v>26</v>
      </c>
      <c r="AC1017" s="2">
        <v>89</v>
      </c>
      <c r="AI1017" s="81" t="s">
        <v>236</v>
      </c>
      <c r="AJ1017" s="81" t="s">
        <v>235</v>
      </c>
      <c r="AK1017" s="15">
        <v>1959</v>
      </c>
      <c r="AL1017" s="81" t="s">
        <v>179</v>
      </c>
      <c r="AM1017" s="15" t="s">
        <v>240</v>
      </c>
    </row>
    <row r="1018" spans="1:39" s="82" customFormat="1" x14ac:dyDescent="0.3">
      <c r="A1018" s="67">
        <v>15</v>
      </c>
      <c r="B1018" s="68">
        <v>15</v>
      </c>
      <c r="C1018" s="68"/>
      <c r="D1018" s="68">
        <v>1</v>
      </c>
      <c r="E1018" s="68">
        <v>4</v>
      </c>
      <c r="F1018" s="68">
        <v>1</v>
      </c>
      <c r="G1018" s="69">
        <v>4</v>
      </c>
      <c r="H1018" s="68"/>
      <c r="I1018" s="69"/>
      <c r="J1018" s="69"/>
      <c r="K1018" s="70">
        <v>3</v>
      </c>
      <c r="L1018" s="68">
        <f>2520+21</f>
        <v>2541</v>
      </c>
      <c r="M1018" s="71"/>
      <c r="N1018" s="72">
        <v>5.7</v>
      </c>
      <c r="O1018" s="84"/>
      <c r="P1018" s="73"/>
      <c r="Q1018" s="84"/>
      <c r="R1018" s="74"/>
      <c r="S1018" s="74"/>
      <c r="T1018" s="75"/>
      <c r="U1018" s="75"/>
      <c r="V1018" s="76"/>
      <c r="W1018" s="76"/>
      <c r="X1018" s="77"/>
      <c r="Y1018" s="78">
        <v>0.53</v>
      </c>
      <c r="Z1018" s="79"/>
      <c r="AA1018" s="69"/>
      <c r="AB1018" s="68">
        <v>9</v>
      </c>
      <c r="AC1018" s="68">
        <v>17</v>
      </c>
      <c r="AD1018" s="68"/>
      <c r="AE1018" s="80"/>
      <c r="AF1018" s="80"/>
      <c r="AG1018" s="80"/>
      <c r="AH1018" s="80"/>
      <c r="AI1018" s="81" t="s">
        <v>237</v>
      </c>
      <c r="AJ1018" s="81" t="s">
        <v>235</v>
      </c>
      <c r="AK1018" s="81">
        <v>1959</v>
      </c>
      <c r="AL1018" s="81" t="s">
        <v>179</v>
      </c>
      <c r="AM1018" s="81" t="s">
        <v>241</v>
      </c>
    </row>
    <row r="1019" spans="1:39" s="82" customFormat="1" x14ac:dyDescent="0.3">
      <c r="A1019" s="67">
        <v>1</v>
      </c>
      <c r="B1019" s="68">
        <v>1</v>
      </c>
      <c r="C1019" s="68"/>
      <c r="D1019" s="68">
        <v>0</v>
      </c>
      <c r="E1019" s="68"/>
      <c r="F1019" s="68">
        <v>1</v>
      </c>
      <c r="G1019" s="69">
        <v>4</v>
      </c>
      <c r="H1019" s="68"/>
      <c r="I1019" s="69"/>
      <c r="J1019" s="69"/>
      <c r="K1019" s="70">
        <v>3</v>
      </c>
      <c r="L1019" s="68">
        <f>12775+21</f>
        <v>12796</v>
      </c>
      <c r="M1019" s="71"/>
      <c r="N1019" s="72">
        <v>5.7</v>
      </c>
      <c r="O1019" s="84"/>
      <c r="P1019" s="73">
        <v>0</v>
      </c>
      <c r="Q1019" s="84"/>
      <c r="R1019" s="74"/>
      <c r="S1019" s="74"/>
      <c r="T1019" s="75"/>
      <c r="U1019" s="75"/>
      <c r="V1019" s="76"/>
      <c r="W1019" s="76"/>
      <c r="X1019" s="77"/>
      <c r="Y1019" s="78">
        <v>1</v>
      </c>
      <c r="Z1019" s="79"/>
      <c r="AA1019" s="69"/>
      <c r="AB1019" s="68">
        <v>11</v>
      </c>
      <c r="AC1019" s="68">
        <v>0</v>
      </c>
      <c r="AD1019" s="68"/>
      <c r="AE1019" s="80"/>
      <c r="AF1019" s="80"/>
      <c r="AG1019" s="80"/>
      <c r="AH1019" s="80"/>
      <c r="AI1019" s="81" t="s">
        <v>238</v>
      </c>
      <c r="AJ1019" s="81" t="s">
        <v>235</v>
      </c>
      <c r="AK1019" s="81">
        <v>1959</v>
      </c>
      <c r="AL1019" s="81" t="s">
        <v>179</v>
      </c>
      <c r="AM1019" s="81" t="s">
        <v>242</v>
      </c>
    </row>
    <row r="1020" spans="1:39" s="82" customFormat="1" x14ac:dyDescent="0.3">
      <c r="A1020" s="67">
        <v>13</v>
      </c>
      <c r="B1020" s="68">
        <v>13</v>
      </c>
      <c r="C1020" s="68"/>
      <c r="D1020" s="68">
        <v>0</v>
      </c>
      <c r="E1020" s="68"/>
      <c r="F1020" s="68">
        <v>1</v>
      </c>
      <c r="G1020" s="69">
        <v>4</v>
      </c>
      <c r="H1020" s="68"/>
      <c r="I1020" s="69"/>
      <c r="J1020" s="69"/>
      <c r="K1020" s="70">
        <v>3</v>
      </c>
      <c r="L1020" s="68">
        <f>12775+21</f>
        <v>12796</v>
      </c>
      <c r="M1020" s="71"/>
      <c r="N1020" s="72">
        <v>5.7</v>
      </c>
      <c r="O1020" s="84"/>
      <c r="P1020" s="73"/>
      <c r="Q1020" s="84"/>
      <c r="R1020" s="74"/>
      <c r="S1020" s="74"/>
      <c r="T1020" s="75"/>
      <c r="U1020" s="75"/>
      <c r="V1020" s="76"/>
      <c r="W1020" s="76"/>
      <c r="X1020" s="77"/>
      <c r="Y1020" s="78">
        <v>0.23</v>
      </c>
      <c r="Z1020" s="79"/>
      <c r="AA1020" s="69"/>
      <c r="AB1020" s="68">
        <v>15</v>
      </c>
      <c r="AC1020" s="68">
        <v>17</v>
      </c>
      <c r="AD1020" s="68"/>
      <c r="AE1020" s="80"/>
      <c r="AF1020" s="80"/>
      <c r="AG1020" s="80"/>
      <c r="AH1020" s="80"/>
      <c r="AI1020" s="81" t="s">
        <v>239</v>
      </c>
      <c r="AJ1020" s="81" t="s">
        <v>235</v>
      </c>
      <c r="AK1020" s="81">
        <v>1959</v>
      </c>
      <c r="AL1020" s="81" t="s">
        <v>179</v>
      </c>
      <c r="AM1020" s="81" t="s">
        <v>242</v>
      </c>
    </row>
    <row r="1021" spans="1:39" s="82" customFormat="1" x14ac:dyDescent="0.3">
      <c r="A1021" s="67">
        <v>0</v>
      </c>
      <c r="B1021" s="68">
        <v>46</v>
      </c>
      <c r="C1021" s="68"/>
      <c r="D1021" s="68">
        <v>0</v>
      </c>
      <c r="E1021" s="68"/>
      <c r="F1021" s="68">
        <v>1</v>
      </c>
      <c r="G1021" s="69">
        <v>4</v>
      </c>
      <c r="H1021" s="68"/>
      <c r="I1021" s="69"/>
      <c r="J1021" s="69"/>
      <c r="K1021" s="70">
        <v>3</v>
      </c>
      <c r="L1021" s="68">
        <f>7200+21</f>
        <v>7221</v>
      </c>
      <c r="M1021" s="71"/>
      <c r="N1021" s="72">
        <v>5.7</v>
      </c>
      <c r="O1021" s="84"/>
      <c r="P1021" s="73">
        <v>0</v>
      </c>
      <c r="Q1021" s="84"/>
      <c r="R1021" s="74"/>
      <c r="S1021" s="74"/>
      <c r="T1021" s="75"/>
      <c r="U1021" s="75"/>
      <c r="V1021" s="76"/>
      <c r="W1021" s="76"/>
      <c r="X1021" s="77"/>
      <c r="Y1021" s="78">
        <v>0.95699999999999996</v>
      </c>
      <c r="Z1021" s="79"/>
      <c r="AA1021" s="69"/>
      <c r="AB1021" s="68"/>
      <c r="AC1021" s="68"/>
      <c r="AD1021" s="68"/>
      <c r="AE1021" s="80"/>
      <c r="AF1021" s="80"/>
      <c r="AG1021" s="80"/>
      <c r="AH1021" s="80"/>
      <c r="AI1021" s="81" t="s">
        <v>243</v>
      </c>
      <c r="AJ1021" s="81" t="s">
        <v>235</v>
      </c>
      <c r="AK1021" s="81">
        <v>1959</v>
      </c>
      <c r="AL1021" s="81" t="s">
        <v>179</v>
      </c>
      <c r="AM1021" s="81" t="s">
        <v>245</v>
      </c>
    </row>
    <row r="1022" spans="1:39" s="82" customFormat="1" x14ac:dyDescent="0.3">
      <c r="A1022" s="67">
        <v>0</v>
      </c>
      <c r="B1022" s="68">
        <v>28</v>
      </c>
      <c r="C1022" s="68"/>
      <c r="D1022" s="68">
        <v>1</v>
      </c>
      <c r="E1022" s="68">
        <v>4</v>
      </c>
      <c r="F1022" s="68">
        <v>1</v>
      </c>
      <c r="G1022" s="69">
        <v>4</v>
      </c>
      <c r="H1022" s="68"/>
      <c r="I1022" s="69"/>
      <c r="J1022" s="69"/>
      <c r="K1022" s="70">
        <v>3</v>
      </c>
      <c r="L1022" s="68">
        <f>7200+21</f>
        <v>7221</v>
      </c>
      <c r="M1022" s="71"/>
      <c r="N1022" s="72">
        <v>5.7</v>
      </c>
      <c r="O1022" s="84"/>
      <c r="P1022" s="73"/>
      <c r="Q1022" s="84"/>
      <c r="R1022" s="74"/>
      <c r="S1022" s="74"/>
      <c r="T1022" s="75"/>
      <c r="U1022" s="75"/>
      <c r="V1022" s="76"/>
      <c r="W1022" s="76"/>
      <c r="X1022" s="77"/>
      <c r="Y1022" s="78">
        <v>0.39300000000000002</v>
      </c>
      <c r="Z1022" s="79"/>
      <c r="AA1022" s="69"/>
      <c r="AB1022" s="68"/>
      <c r="AC1022" s="68"/>
      <c r="AD1022" s="68"/>
      <c r="AE1022" s="80"/>
      <c r="AF1022" s="80"/>
      <c r="AG1022" s="80"/>
      <c r="AH1022" s="80"/>
      <c r="AI1022" s="81" t="s">
        <v>244</v>
      </c>
      <c r="AJ1022" s="81" t="s">
        <v>235</v>
      </c>
      <c r="AK1022" s="81">
        <v>1959</v>
      </c>
      <c r="AL1022" s="81" t="s">
        <v>179</v>
      </c>
      <c r="AM1022" s="81" t="s">
        <v>245</v>
      </c>
    </row>
    <row r="1023" spans="1:39" s="82" customFormat="1" x14ac:dyDescent="0.3">
      <c r="A1023" s="67">
        <v>184</v>
      </c>
      <c r="B1023" s="68"/>
      <c r="C1023" s="68"/>
      <c r="D1023" s="68">
        <v>0</v>
      </c>
      <c r="E1023" s="68"/>
      <c r="F1023" s="68">
        <v>0</v>
      </c>
      <c r="G1023" s="69">
        <v>6</v>
      </c>
      <c r="H1023" s="68">
        <v>0</v>
      </c>
      <c r="I1023" s="69">
        <v>5.2</v>
      </c>
      <c r="J1023" s="69">
        <v>6.9</v>
      </c>
      <c r="K1023" s="70">
        <v>1</v>
      </c>
      <c r="L1023" s="68">
        <v>0</v>
      </c>
      <c r="M1023" s="71"/>
      <c r="N1023" s="72">
        <v>6</v>
      </c>
      <c r="O1023" s="84">
        <v>0</v>
      </c>
      <c r="P1023" s="73"/>
      <c r="Q1023" s="84">
        <v>1</v>
      </c>
      <c r="R1023" s="74">
        <v>5.2</v>
      </c>
      <c r="S1023" s="74">
        <v>6.9</v>
      </c>
      <c r="T1023" s="75"/>
      <c r="U1023" s="75"/>
      <c r="V1023" s="76"/>
      <c r="W1023" s="76">
        <v>0.3</v>
      </c>
      <c r="X1023" s="77">
        <v>42</v>
      </c>
      <c r="Y1023" s="78"/>
      <c r="Z1023" s="79"/>
      <c r="AA1023" s="69"/>
      <c r="AB1023" s="68"/>
      <c r="AC1023" s="68"/>
      <c r="AD1023" s="68"/>
      <c r="AE1023" s="80"/>
      <c r="AF1023" s="80"/>
      <c r="AG1023" s="80"/>
      <c r="AH1023" s="80"/>
      <c r="AI1023" s="81" t="s">
        <v>377</v>
      </c>
      <c r="AJ1023" s="81" t="s">
        <v>83</v>
      </c>
      <c r="AK1023" s="81">
        <v>1995</v>
      </c>
      <c r="AL1023" s="81" t="s">
        <v>362</v>
      </c>
      <c r="AM1023" s="81"/>
    </row>
    <row r="1024" spans="1:39" s="82" customFormat="1" x14ac:dyDescent="0.3">
      <c r="A1024" s="67">
        <v>184</v>
      </c>
      <c r="B1024" s="68"/>
      <c r="C1024" s="68"/>
      <c r="D1024" s="68">
        <v>0</v>
      </c>
      <c r="E1024" s="68"/>
      <c r="F1024" s="68">
        <v>1</v>
      </c>
      <c r="G1024" s="69">
        <v>6</v>
      </c>
      <c r="H1024" s="68">
        <v>0</v>
      </c>
      <c r="I1024" s="69">
        <v>5.2</v>
      </c>
      <c r="J1024" s="69">
        <v>6.9</v>
      </c>
      <c r="K1024" s="70">
        <v>1</v>
      </c>
      <c r="L1024" s="68">
        <v>42</v>
      </c>
      <c r="M1024" s="71"/>
      <c r="N1024" s="72">
        <v>6</v>
      </c>
      <c r="O1024" s="84">
        <v>42</v>
      </c>
      <c r="P1024" s="73">
        <v>0.3</v>
      </c>
      <c r="Q1024" s="84">
        <v>1</v>
      </c>
      <c r="R1024" s="74"/>
      <c r="S1024" s="74"/>
      <c r="T1024" s="75"/>
      <c r="U1024" s="75"/>
      <c r="V1024" s="76"/>
      <c r="W1024" s="76">
        <v>0.56999999999999995</v>
      </c>
      <c r="X1024" s="77">
        <v>70</v>
      </c>
      <c r="Y1024" s="78"/>
      <c r="Z1024" s="79"/>
      <c r="AA1024" s="69"/>
      <c r="AB1024" s="68"/>
      <c r="AC1024" s="68"/>
      <c r="AD1024" s="68"/>
      <c r="AE1024" s="80"/>
      <c r="AF1024" s="80"/>
      <c r="AG1024" s="80"/>
      <c r="AH1024" s="80"/>
      <c r="AI1024" s="81" t="s">
        <v>377</v>
      </c>
      <c r="AJ1024" s="81" t="s">
        <v>83</v>
      </c>
      <c r="AK1024" s="81">
        <v>1995</v>
      </c>
      <c r="AL1024" s="81" t="s">
        <v>362</v>
      </c>
      <c r="AM1024" s="81"/>
    </row>
    <row r="1025" spans="1:39" s="82" customFormat="1" x14ac:dyDescent="0.3">
      <c r="A1025" s="67">
        <v>169</v>
      </c>
      <c r="B1025" s="68"/>
      <c r="C1025" s="68"/>
      <c r="D1025" s="68">
        <v>0</v>
      </c>
      <c r="E1025" s="68"/>
      <c r="F1025" s="68">
        <v>1</v>
      </c>
      <c r="G1025" s="69">
        <v>6</v>
      </c>
      <c r="H1025" s="68">
        <v>0</v>
      </c>
      <c r="I1025" s="69">
        <v>6.06</v>
      </c>
      <c r="J1025" s="69">
        <v>7.5</v>
      </c>
      <c r="K1025" s="70">
        <v>1</v>
      </c>
      <c r="L1025" s="68">
        <v>56</v>
      </c>
      <c r="M1025" s="71"/>
      <c r="N1025" s="72">
        <v>6</v>
      </c>
      <c r="O1025" s="84">
        <v>56</v>
      </c>
      <c r="P1025" s="73"/>
      <c r="Q1025" s="84">
        <v>1</v>
      </c>
      <c r="R1025" s="74"/>
      <c r="S1025" s="74"/>
      <c r="T1025" s="75"/>
      <c r="U1025" s="75"/>
      <c r="V1025" s="76"/>
      <c r="W1025" s="76">
        <v>0.51</v>
      </c>
      <c r="X1025" s="77">
        <v>112</v>
      </c>
      <c r="Y1025" s="78"/>
      <c r="Z1025" s="79"/>
      <c r="AA1025" s="69"/>
      <c r="AB1025" s="68"/>
      <c r="AC1025" s="68"/>
      <c r="AD1025" s="68"/>
      <c r="AE1025" s="80"/>
      <c r="AF1025" s="80"/>
      <c r="AG1025" s="80"/>
      <c r="AH1025" s="80"/>
      <c r="AI1025" s="81" t="s">
        <v>377</v>
      </c>
      <c r="AJ1025" s="81" t="s">
        <v>83</v>
      </c>
      <c r="AK1025" s="81">
        <v>1995</v>
      </c>
      <c r="AL1025" s="81" t="s">
        <v>84</v>
      </c>
      <c r="AM1025" s="81"/>
    </row>
    <row r="1026" spans="1:39" s="82" customFormat="1" x14ac:dyDescent="0.3">
      <c r="A1026" s="67">
        <v>184</v>
      </c>
      <c r="B1026" s="68"/>
      <c r="C1026" s="68"/>
      <c r="D1026" s="68">
        <v>0</v>
      </c>
      <c r="E1026" s="68"/>
      <c r="F1026" s="68">
        <v>2</v>
      </c>
      <c r="G1026" s="69">
        <v>6</v>
      </c>
      <c r="H1026" s="68">
        <v>0</v>
      </c>
      <c r="I1026" s="69">
        <v>5.2</v>
      </c>
      <c r="J1026" s="69">
        <v>6.9</v>
      </c>
      <c r="K1026" s="70">
        <v>1</v>
      </c>
      <c r="L1026" s="68">
        <v>70</v>
      </c>
      <c r="M1026" s="71"/>
      <c r="N1026" s="72">
        <v>6</v>
      </c>
      <c r="O1026" s="84">
        <v>70</v>
      </c>
      <c r="P1026" s="73">
        <v>0.56999999999999995</v>
      </c>
      <c r="Q1026" s="84">
        <v>1</v>
      </c>
      <c r="R1026" s="74"/>
      <c r="S1026" s="74"/>
      <c r="T1026" s="75"/>
      <c r="U1026" s="75"/>
      <c r="V1026" s="76"/>
      <c r="W1026" s="76">
        <v>0.73</v>
      </c>
      <c r="X1026" s="77">
        <v>98</v>
      </c>
      <c r="Y1026" s="78"/>
      <c r="Z1026" s="79"/>
      <c r="AA1026" s="69"/>
      <c r="AB1026" s="68"/>
      <c r="AC1026" s="68"/>
      <c r="AD1026" s="68"/>
      <c r="AE1026" s="80"/>
      <c r="AF1026" s="80"/>
      <c r="AG1026" s="80"/>
      <c r="AH1026" s="80"/>
      <c r="AI1026" s="81" t="s">
        <v>377</v>
      </c>
      <c r="AJ1026" s="81" t="s">
        <v>83</v>
      </c>
      <c r="AK1026" s="81">
        <v>1995</v>
      </c>
      <c r="AL1026" s="81" t="s">
        <v>362</v>
      </c>
      <c r="AM1026" s="81"/>
    </row>
    <row r="1027" spans="1:39" s="82" customFormat="1" x14ac:dyDescent="0.3">
      <c r="A1027" s="67">
        <v>184</v>
      </c>
      <c r="B1027" s="68"/>
      <c r="C1027" s="68"/>
      <c r="D1027" s="68">
        <v>0</v>
      </c>
      <c r="E1027" s="68"/>
      <c r="F1027" s="68">
        <v>3</v>
      </c>
      <c r="G1027" s="69">
        <v>6</v>
      </c>
      <c r="H1027" s="68">
        <v>0</v>
      </c>
      <c r="I1027" s="69">
        <v>5.2</v>
      </c>
      <c r="J1027" s="69">
        <v>6.9</v>
      </c>
      <c r="K1027" s="70">
        <v>1</v>
      </c>
      <c r="L1027" s="68">
        <v>98</v>
      </c>
      <c r="M1027" s="71"/>
      <c r="N1027" s="72">
        <v>6</v>
      </c>
      <c r="O1027" s="84">
        <v>98</v>
      </c>
      <c r="P1027" s="73">
        <v>0.73</v>
      </c>
      <c r="Q1027" s="84">
        <v>1</v>
      </c>
      <c r="R1027" s="74"/>
      <c r="S1027" s="74"/>
      <c r="T1027" s="75">
        <v>8.9</v>
      </c>
      <c r="U1027" s="75">
        <v>1.8</v>
      </c>
      <c r="V1027" s="76"/>
      <c r="W1027" s="76">
        <v>0.86</v>
      </c>
      <c r="X1027" s="77">
        <v>126</v>
      </c>
      <c r="Y1027" s="78"/>
      <c r="Z1027" s="79"/>
      <c r="AA1027" s="69"/>
      <c r="AB1027" s="68"/>
      <c r="AC1027" s="68"/>
      <c r="AD1027" s="68"/>
      <c r="AE1027" s="80"/>
      <c r="AF1027" s="80"/>
      <c r="AG1027" s="80"/>
      <c r="AH1027" s="80"/>
      <c r="AI1027" s="81" t="s">
        <v>377</v>
      </c>
      <c r="AJ1027" s="81" t="s">
        <v>83</v>
      </c>
      <c r="AK1027" s="81">
        <v>1995</v>
      </c>
      <c r="AL1027" s="81" t="s">
        <v>362</v>
      </c>
      <c r="AM1027" s="81"/>
    </row>
    <row r="1028" spans="1:39" s="82" customFormat="1" x14ac:dyDescent="0.3">
      <c r="A1028" s="67">
        <v>169</v>
      </c>
      <c r="B1028" s="68"/>
      <c r="C1028" s="68"/>
      <c r="D1028" s="68">
        <v>0</v>
      </c>
      <c r="E1028" s="68"/>
      <c r="F1028" s="68">
        <v>3</v>
      </c>
      <c r="G1028" s="69">
        <v>6</v>
      </c>
      <c r="H1028" s="68">
        <v>0</v>
      </c>
      <c r="I1028" s="69">
        <v>6.06</v>
      </c>
      <c r="J1028" s="69">
        <v>7.5</v>
      </c>
      <c r="K1028" s="70">
        <v>1</v>
      </c>
      <c r="L1028" s="68">
        <v>147</v>
      </c>
      <c r="M1028" s="71"/>
      <c r="N1028" s="72">
        <v>6</v>
      </c>
      <c r="O1028" s="84">
        <v>147</v>
      </c>
      <c r="P1028" s="73"/>
      <c r="Q1028" s="84">
        <v>1</v>
      </c>
      <c r="R1028" s="74"/>
      <c r="S1028" s="74"/>
      <c r="T1028" s="75">
        <v>8.9</v>
      </c>
      <c r="U1028" s="75">
        <v>1.4</v>
      </c>
      <c r="V1028" s="76"/>
      <c r="W1028" s="76">
        <v>0.85</v>
      </c>
      <c r="X1028" s="77">
        <v>175</v>
      </c>
      <c r="Y1028" s="78"/>
      <c r="Z1028" s="79"/>
      <c r="AA1028" s="69"/>
      <c r="AB1028" s="68"/>
      <c r="AC1028" s="68"/>
      <c r="AD1028" s="68"/>
      <c r="AE1028" s="80"/>
      <c r="AF1028" s="80"/>
      <c r="AG1028" s="80"/>
      <c r="AH1028" s="80"/>
      <c r="AI1028" s="81" t="s">
        <v>377</v>
      </c>
      <c r="AJ1028" s="81" t="s">
        <v>83</v>
      </c>
      <c r="AK1028" s="81">
        <v>1995</v>
      </c>
      <c r="AL1028" s="81" t="s">
        <v>84</v>
      </c>
      <c r="AM1028" s="81"/>
    </row>
    <row r="1029" spans="1:39" s="82" customFormat="1" x14ac:dyDescent="0.3">
      <c r="A1029" s="67">
        <v>176</v>
      </c>
      <c r="B1029" s="68"/>
      <c r="C1029" s="68"/>
      <c r="D1029" s="68">
        <v>0</v>
      </c>
      <c r="E1029" s="68"/>
      <c r="F1029" s="68">
        <v>0</v>
      </c>
      <c r="G1029" s="69">
        <v>6</v>
      </c>
      <c r="H1029" s="68">
        <v>0</v>
      </c>
      <c r="I1029" s="69">
        <v>5.2</v>
      </c>
      <c r="J1029" s="69">
        <v>6.9</v>
      </c>
      <c r="K1029" s="70">
        <v>1</v>
      </c>
      <c r="L1029" s="68">
        <v>0</v>
      </c>
      <c r="M1029" s="71"/>
      <c r="N1029" s="72">
        <v>6</v>
      </c>
      <c r="O1029" s="84">
        <v>0</v>
      </c>
      <c r="P1029" s="73"/>
      <c r="Q1029" s="84">
        <v>1</v>
      </c>
      <c r="R1029" s="74">
        <v>5.2</v>
      </c>
      <c r="S1029" s="74">
        <v>6.9</v>
      </c>
      <c r="T1029" s="75"/>
      <c r="U1029" s="75"/>
      <c r="V1029" s="76"/>
      <c r="W1029" s="76">
        <v>0.22</v>
      </c>
      <c r="X1029" s="77">
        <v>42</v>
      </c>
      <c r="Y1029" s="78"/>
      <c r="Z1029" s="79"/>
      <c r="AA1029" s="69"/>
      <c r="AB1029" s="68"/>
      <c r="AC1029" s="68"/>
      <c r="AD1029" s="68"/>
      <c r="AE1029" s="80"/>
      <c r="AF1029" s="80"/>
      <c r="AG1029" s="80"/>
      <c r="AH1029" s="80"/>
      <c r="AI1029" s="81" t="s">
        <v>379</v>
      </c>
      <c r="AJ1029" s="81" t="s">
        <v>83</v>
      </c>
      <c r="AK1029" s="81">
        <v>1995</v>
      </c>
      <c r="AL1029" s="81" t="s">
        <v>362</v>
      </c>
      <c r="AM1029" s="81"/>
    </row>
    <row r="1030" spans="1:39" s="82" customFormat="1" x14ac:dyDescent="0.3">
      <c r="A1030" s="67">
        <v>176</v>
      </c>
      <c r="B1030" s="68"/>
      <c r="C1030" s="68"/>
      <c r="D1030" s="68">
        <v>0</v>
      </c>
      <c r="E1030" s="68"/>
      <c r="F1030" s="68">
        <v>1</v>
      </c>
      <c r="G1030" s="69">
        <v>6</v>
      </c>
      <c r="H1030" s="68">
        <v>0</v>
      </c>
      <c r="I1030" s="69">
        <v>5.2</v>
      </c>
      <c r="J1030" s="69">
        <v>6.9</v>
      </c>
      <c r="K1030" s="70">
        <v>1</v>
      </c>
      <c r="L1030" s="68">
        <v>42</v>
      </c>
      <c r="M1030" s="71"/>
      <c r="N1030" s="72">
        <v>6</v>
      </c>
      <c r="O1030" s="84">
        <v>42</v>
      </c>
      <c r="P1030" s="73">
        <v>0.22</v>
      </c>
      <c r="Q1030" s="84">
        <v>1</v>
      </c>
      <c r="R1030" s="74"/>
      <c r="S1030" s="74"/>
      <c r="T1030" s="75"/>
      <c r="U1030" s="75"/>
      <c r="V1030" s="76"/>
      <c r="W1030" s="76">
        <v>0.48</v>
      </c>
      <c r="X1030" s="77">
        <v>70</v>
      </c>
      <c r="Y1030" s="78"/>
      <c r="Z1030" s="79"/>
      <c r="AA1030" s="69"/>
      <c r="AB1030" s="68"/>
      <c r="AC1030" s="68"/>
      <c r="AD1030" s="68"/>
      <c r="AE1030" s="80"/>
      <c r="AF1030" s="80"/>
      <c r="AG1030" s="80"/>
      <c r="AH1030" s="80"/>
      <c r="AI1030" s="81" t="s">
        <v>379</v>
      </c>
      <c r="AJ1030" s="81" t="s">
        <v>83</v>
      </c>
      <c r="AK1030" s="81">
        <v>1995</v>
      </c>
      <c r="AL1030" s="81" t="s">
        <v>362</v>
      </c>
      <c r="AM1030" s="81"/>
    </row>
    <row r="1031" spans="1:39" s="82" customFormat="1" x14ac:dyDescent="0.3">
      <c r="A1031" s="67">
        <v>159</v>
      </c>
      <c r="B1031" s="68"/>
      <c r="C1031" s="68"/>
      <c r="D1031" s="68">
        <v>0</v>
      </c>
      <c r="E1031" s="68"/>
      <c r="F1031" s="68">
        <v>1</v>
      </c>
      <c r="G1031" s="69">
        <v>6</v>
      </c>
      <c r="H1031" s="68">
        <v>0</v>
      </c>
      <c r="I1031" s="69">
        <v>6.06</v>
      </c>
      <c r="J1031" s="69">
        <v>7.5</v>
      </c>
      <c r="K1031" s="70">
        <v>1</v>
      </c>
      <c r="L1031" s="68">
        <v>56</v>
      </c>
      <c r="M1031" s="71"/>
      <c r="N1031" s="72">
        <v>6</v>
      </c>
      <c r="O1031" s="84">
        <v>56</v>
      </c>
      <c r="P1031" s="73"/>
      <c r="Q1031" s="84">
        <v>1</v>
      </c>
      <c r="R1031" s="74"/>
      <c r="S1031" s="74"/>
      <c r="T1031" s="75"/>
      <c r="U1031" s="75"/>
      <c r="V1031" s="76"/>
      <c r="W1031" s="76">
        <v>0.52</v>
      </c>
      <c r="X1031" s="77">
        <v>112</v>
      </c>
      <c r="Y1031" s="78"/>
      <c r="Z1031" s="79"/>
      <c r="AA1031" s="69"/>
      <c r="AB1031" s="68"/>
      <c r="AC1031" s="68"/>
      <c r="AD1031" s="68"/>
      <c r="AE1031" s="80"/>
      <c r="AF1031" s="80"/>
      <c r="AG1031" s="80"/>
      <c r="AH1031" s="80"/>
      <c r="AI1031" s="81" t="s">
        <v>379</v>
      </c>
      <c r="AJ1031" s="81" t="s">
        <v>83</v>
      </c>
      <c r="AK1031" s="81">
        <v>1995</v>
      </c>
      <c r="AL1031" s="81" t="s">
        <v>84</v>
      </c>
      <c r="AM1031" s="81"/>
    </row>
    <row r="1032" spans="1:39" s="82" customFormat="1" x14ac:dyDescent="0.3">
      <c r="A1032" s="67">
        <v>176</v>
      </c>
      <c r="B1032" s="68"/>
      <c r="C1032" s="68"/>
      <c r="D1032" s="68">
        <v>0</v>
      </c>
      <c r="E1032" s="68"/>
      <c r="F1032" s="68">
        <v>2</v>
      </c>
      <c r="G1032" s="69">
        <v>6</v>
      </c>
      <c r="H1032" s="68">
        <v>0</v>
      </c>
      <c r="I1032" s="69">
        <v>5.2</v>
      </c>
      <c r="J1032" s="69">
        <v>6.9</v>
      </c>
      <c r="K1032" s="70">
        <v>1</v>
      </c>
      <c r="L1032" s="68">
        <v>70</v>
      </c>
      <c r="M1032" s="71"/>
      <c r="N1032" s="72">
        <v>6</v>
      </c>
      <c r="O1032" s="84">
        <v>70</v>
      </c>
      <c r="P1032" s="73">
        <v>0.48</v>
      </c>
      <c r="Q1032" s="84">
        <v>1</v>
      </c>
      <c r="R1032" s="74"/>
      <c r="S1032" s="74"/>
      <c r="T1032" s="75"/>
      <c r="U1032" s="75"/>
      <c r="V1032" s="76"/>
      <c r="W1032" s="76">
        <v>0.68</v>
      </c>
      <c r="X1032" s="77">
        <v>98</v>
      </c>
      <c r="Y1032" s="78"/>
      <c r="Z1032" s="79"/>
      <c r="AA1032" s="69"/>
      <c r="AB1032" s="68"/>
      <c r="AC1032" s="68"/>
      <c r="AD1032" s="68"/>
      <c r="AE1032" s="80"/>
      <c r="AF1032" s="80"/>
      <c r="AG1032" s="80"/>
      <c r="AH1032" s="80"/>
      <c r="AI1032" s="81" t="s">
        <v>379</v>
      </c>
      <c r="AJ1032" s="81" t="s">
        <v>83</v>
      </c>
      <c r="AK1032" s="81">
        <v>1995</v>
      </c>
      <c r="AL1032" s="81" t="s">
        <v>362</v>
      </c>
      <c r="AM1032" s="81"/>
    </row>
    <row r="1033" spans="1:39" s="82" customFormat="1" x14ac:dyDescent="0.3">
      <c r="A1033" s="67">
        <v>176</v>
      </c>
      <c r="B1033" s="68"/>
      <c r="C1033" s="68"/>
      <c r="D1033" s="68">
        <v>0</v>
      </c>
      <c r="E1033" s="68"/>
      <c r="F1033" s="68">
        <v>3</v>
      </c>
      <c r="G1033" s="69">
        <v>6</v>
      </c>
      <c r="H1033" s="68">
        <v>0</v>
      </c>
      <c r="I1033" s="69">
        <v>5.2</v>
      </c>
      <c r="J1033" s="69">
        <v>6.9</v>
      </c>
      <c r="K1033" s="70">
        <v>1</v>
      </c>
      <c r="L1033" s="68">
        <v>98</v>
      </c>
      <c r="M1033" s="71"/>
      <c r="N1033" s="72">
        <v>6</v>
      </c>
      <c r="O1033" s="84">
        <v>98</v>
      </c>
      <c r="P1033" s="73">
        <v>0.68</v>
      </c>
      <c r="Q1033" s="84">
        <v>1</v>
      </c>
      <c r="R1033" s="74"/>
      <c r="S1033" s="74"/>
      <c r="T1033" s="75">
        <v>8.6999999999999993</v>
      </c>
      <c r="U1033" s="75">
        <v>1.8</v>
      </c>
      <c r="V1033" s="76"/>
      <c r="W1033" s="76">
        <v>0.84</v>
      </c>
      <c r="X1033" s="77">
        <v>126</v>
      </c>
      <c r="Y1033" s="78"/>
      <c r="Z1033" s="79"/>
      <c r="AA1033" s="69"/>
      <c r="AB1033" s="68"/>
      <c r="AC1033" s="68"/>
      <c r="AD1033" s="68"/>
      <c r="AE1033" s="80"/>
      <c r="AF1033" s="80"/>
      <c r="AG1033" s="80"/>
      <c r="AH1033" s="80"/>
      <c r="AI1033" s="81" t="s">
        <v>379</v>
      </c>
      <c r="AJ1033" s="81" t="s">
        <v>83</v>
      </c>
      <c r="AK1033" s="81">
        <v>1995</v>
      </c>
      <c r="AL1033" s="81" t="s">
        <v>362</v>
      </c>
      <c r="AM1033" s="81"/>
    </row>
    <row r="1034" spans="1:39" s="82" customFormat="1" x14ac:dyDescent="0.3">
      <c r="A1034" s="67">
        <v>159</v>
      </c>
      <c r="B1034" s="68"/>
      <c r="C1034" s="68"/>
      <c r="D1034" s="68">
        <v>0</v>
      </c>
      <c r="E1034" s="68"/>
      <c r="F1034" s="68">
        <v>3</v>
      </c>
      <c r="G1034" s="69">
        <v>6</v>
      </c>
      <c r="H1034" s="68">
        <v>0</v>
      </c>
      <c r="I1034" s="69">
        <v>6.06</v>
      </c>
      <c r="J1034" s="69">
        <v>7.5</v>
      </c>
      <c r="K1034" s="70">
        <v>1</v>
      </c>
      <c r="L1034" s="68">
        <v>147</v>
      </c>
      <c r="M1034" s="71"/>
      <c r="N1034" s="72">
        <v>6</v>
      </c>
      <c r="O1034" s="84">
        <v>147</v>
      </c>
      <c r="P1034" s="73"/>
      <c r="Q1034" s="84">
        <v>1</v>
      </c>
      <c r="R1034" s="74"/>
      <c r="S1034" s="74"/>
      <c r="T1034" s="75">
        <v>8.8000000000000007</v>
      </c>
      <c r="U1034" s="75">
        <v>1.8</v>
      </c>
      <c r="V1034" s="76"/>
      <c r="W1034" s="76">
        <v>0.78</v>
      </c>
      <c r="X1034" s="77">
        <v>175</v>
      </c>
      <c r="Y1034" s="78"/>
      <c r="Z1034" s="79"/>
      <c r="AA1034" s="69"/>
      <c r="AB1034" s="68"/>
      <c r="AC1034" s="68"/>
      <c r="AD1034" s="68"/>
      <c r="AE1034" s="80"/>
      <c r="AF1034" s="80"/>
      <c r="AG1034" s="80"/>
      <c r="AH1034" s="80"/>
      <c r="AI1034" s="81" t="s">
        <v>379</v>
      </c>
      <c r="AJ1034" s="81" t="s">
        <v>83</v>
      </c>
      <c r="AK1034" s="81">
        <v>1995</v>
      </c>
      <c r="AL1034" s="81" t="s">
        <v>84</v>
      </c>
      <c r="AM1034" s="81"/>
    </row>
    <row r="1035" spans="1:39" s="82" customFormat="1" x14ac:dyDescent="0.3">
      <c r="A1035" s="67">
        <v>175</v>
      </c>
      <c r="B1035" s="68"/>
      <c r="C1035" s="68"/>
      <c r="D1035" s="68">
        <v>0</v>
      </c>
      <c r="E1035" s="68"/>
      <c r="F1035" s="68">
        <v>0</v>
      </c>
      <c r="G1035" s="69">
        <v>6</v>
      </c>
      <c r="H1035" s="68">
        <v>0</v>
      </c>
      <c r="I1035" s="69">
        <v>5.2</v>
      </c>
      <c r="J1035" s="69">
        <v>6.9</v>
      </c>
      <c r="K1035" s="70">
        <v>1</v>
      </c>
      <c r="L1035" s="68">
        <v>0</v>
      </c>
      <c r="M1035" s="71"/>
      <c r="N1035" s="72">
        <v>6</v>
      </c>
      <c r="O1035" s="84">
        <v>0</v>
      </c>
      <c r="P1035" s="73"/>
      <c r="Q1035" s="84">
        <v>1</v>
      </c>
      <c r="R1035" s="74">
        <v>5.2</v>
      </c>
      <c r="S1035" s="74">
        <v>6.9</v>
      </c>
      <c r="T1035" s="75"/>
      <c r="U1035" s="75"/>
      <c r="V1035" s="76"/>
      <c r="W1035" s="76">
        <v>0.3</v>
      </c>
      <c r="X1035" s="77">
        <v>42</v>
      </c>
      <c r="Y1035" s="78"/>
      <c r="Z1035" s="79"/>
      <c r="AA1035" s="69"/>
      <c r="AB1035" s="68"/>
      <c r="AC1035" s="68"/>
      <c r="AD1035" s="68"/>
      <c r="AE1035" s="80"/>
      <c r="AF1035" s="80"/>
      <c r="AG1035" s="80"/>
      <c r="AH1035" s="80"/>
      <c r="AI1035" s="81" t="s">
        <v>378</v>
      </c>
      <c r="AJ1035" s="81" t="s">
        <v>83</v>
      </c>
      <c r="AK1035" s="81">
        <v>1995</v>
      </c>
      <c r="AL1035" s="81" t="s">
        <v>362</v>
      </c>
      <c r="AM1035" s="81"/>
    </row>
    <row r="1036" spans="1:39" s="82" customFormat="1" x14ac:dyDescent="0.3">
      <c r="A1036" s="67">
        <v>175</v>
      </c>
      <c r="B1036" s="68"/>
      <c r="C1036" s="68"/>
      <c r="D1036" s="68">
        <v>0</v>
      </c>
      <c r="E1036" s="68"/>
      <c r="F1036" s="68">
        <v>1</v>
      </c>
      <c r="G1036" s="69">
        <v>6</v>
      </c>
      <c r="H1036" s="68">
        <v>0</v>
      </c>
      <c r="I1036" s="69">
        <v>5.2</v>
      </c>
      <c r="J1036" s="69">
        <v>6.9</v>
      </c>
      <c r="K1036" s="70">
        <v>1</v>
      </c>
      <c r="L1036" s="68">
        <v>42</v>
      </c>
      <c r="M1036" s="71"/>
      <c r="N1036" s="72">
        <v>6</v>
      </c>
      <c r="O1036" s="84">
        <v>42</v>
      </c>
      <c r="P1036" s="73">
        <v>0.3</v>
      </c>
      <c r="Q1036" s="84">
        <v>1</v>
      </c>
      <c r="R1036" s="74"/>
      <c r="S1036" s="74"/>
      <c r="T1036" s="75"/>
      <c r="U1036" s="75"/>
      <c r="V1036" s="76"/>
      <c r="W1036" s="76">
        <v>0.56999999999999995</v>
      </c>
      <c r="X1036" s="77">
        <v>70</v>
      </c>
      <c r="Y1036" s="78"/>
      <c r="Z1036" s="79"/>
      <c r="AA1036" s="69"/>
      <c r="AB1036" s="68"/>
      <c r="AC1036" s="68"/>
      <c r="AD1036" s="68"/>
      <c r="AE1036" s="80"/>
      <c r="AF1036" s="80"/>
      <c r="AG1036" s="80"/>
      <c r="AH1036" s="80"/>
      <c r="AI1036" s="81" t="s">
        <v>378</v>
      </c>
      <c r="AJ1036" s="81" t="s">
        <v>83</v>
      </c>
      <c r="AK1036" s="81">
        <v>1995</v>
      </c>
      <c r="AL1036" s="81" t="s">
        <v>362</v>
      </c>
      <c r="AM1036" s="81"/>
    </row>
    <row r="1037" spans="1:39" s="82" customFormat="1" x14ac:dyDescent="0.3">
      <c r="A1037" s="67">
        <v>190</v>
      </c>
      <c r="B1037" s="68"/>
      <c r="C1037" s="68"/>
      <c r="D1037" s="68">
        <v>0</v>
      </c>
      <c r="E1037" s="68"/>
      <c r="F1037" s="68">
        <v>1</v>
      </c>
      <c r="G1037" s="69">
        <v>6</v>
      </c>
      <c r="H1037" s="68">
        <v>0</v>
      </c>
      <c r="I1037" s="69">
        <v>6.06</v>
      </c>
      <c r="J1037" s="69">
        <v>7.5</v>
      </c>
      <c r="K1037" s="70">
        <v>1</v>
      </c>
      <c r="L1037" s="68">
        <v>56</v>
      </c>
      <c r="M1037" s="71"/>
      <c r="N1037" s="72">
        <v>6</v>
      </c>
      <c r="O1037" s="84">
        <v>56</v>
      </c>
      <c r="P1037" s="73"/>
      <c r="Q1037" s="84">
        <v>1</v>
      </c>
      <c r="R1037" s="74"/>
      <c r="S1037" s="74"/>
      <c r="T1037" s="75"/>
      <c r="U1037" s="75"/>
      <c r="V1037" s="76"/>
      <c r="W1037" s="76">
        <v>0.54</v>
      </c>
      <c r="X1037" s="77">
        <v>112</v>
      </c>
      <c r="Y1037" s="78"/>
      <c r="Z1037" s="79"/>
      <c r="AA1037" s="69"/>
      <c r="AB1037" s="68"/>
      <c r="AC1037" s="68"/>
      <c r="AD1037" s="68"/>
      <c r="AE1037" s="80"/>
      <c r="AF1037" s="80"/>
      <c r="AG1037" s="80"/>
      <c r="AH1037" s="80"/>
      <c r="AI1037" s="81" t="s">
        <v>378</v>
      </c>
      <c r="AJ1037" s="81" t="s">
        <v>83</v>
      </c>
      <c r="AK1037" s="81">
        <v>1995</v>
      </c>
      <c r="AL1037" s="81" t="s">
        <v>84</v>
      </c>
      <c r="AM1037" s="81"/>
    </row>
    <row r="1038" spans="1:39" s="82" customFormat="1" x14ac:dyDescent="0.3">
      <c r="A1038" s="67">
        <v>175</v>
      </c>
      <c r="B1038" s="68"/>
      <c r="C1038" s="68"/>
      <c r="D1038" s="68">
        <v>0</v>
      </c>
      <c r="E1038" s="68"/>
      <c r="F1038" s="68">
        <v>2</v>
      </c>
      <c r="G1038" s="69">
        <v>6</v>
      </c>
      <c r="H1038" s="68">
        <v>0</v>
      </c>
      <c r="I1038" s="69">
        <v>5.2</v>
      </c>
      <c r="J1038" s="69">
        <v>6.9</v>
      </c>
      <c r="K1038" s="70">
        <v>1</v>
      </c>
      <c r="L1038" s="68">
        <v>70</v>
      </c>
      <c r="M1038" s="71"/>
      <c r="N1038" s="72">
        <v>6</v>
      </c>
      <c r="O1038" s="84">
        <v>70</v>
      </c>
      <c r="P1038" s="73">
        <v>0.56999999999999995</v>
      </c>
      <c r="Q1038" s="84">
        <v>1</v>
      </c>
      <c r="R1038" s="74"/>
      <c r="S1038" s="74"/>
      <c r="T1038" s="75"/>
      <c r="U1038" s="75"/>
      <c r="V1038" s="76"/>
      <c r="W1038" s="76">
        <v>0.75</v>
      </c>
      <c r="X1038" s="77">
        <v>98</v>
      </c>
      <c r="Y1038" s="78"/>
      <c r="Z1038" s="79"/>
      <c r="AA1038" s="69"/>
      <c r="AB1038" s="68"/>
      <c r="AC1038" s="68"/>
      <c r="AD1038" s="68"/>
      <c r="AE1038" s="80"/>
      <c r="AF1038" s="80"/>
      <c r="AG1038" s="80"/>
      <c r="AH1038" s="80"/>
      <c r="AI1038" s="81" t="s">
        <v>378</v>
      </c>
      <c r="AJ1038" s="81" t="s">
        <v>83</v>
      </c>
      <c r="AK1038" s="81">
        <v>1995</v>
      </c>
      <c r="AL1038" s="81" t="s">
        <v>362</v>
      </c>
      <c r="AM1038" s="81"/>
    </row>
    <row r="1039" spans="1:39" s="82" customFormat="1" x14ac:dyDescent="0.3">
      <c r="A1039" s="67">
        <v>175</v>
      </c>
      <c r="B1039" s="68"/>
      <c r="C1039" s="68"/>
      <c r="D1039" s="68">
        <v>0</v>
      </c>
      <c r="E1039" s="68"/>
      <c r="F1039" s="68">
        <v>3</v>
      </c>
      <c r="G1039" s="69">
        <v>6</v>
      </c>
      <c r="H1039" s="68">
        <v>0</v>
      </c>
      <c r="I1039" s="69">
        <v>5.2</v>
      </c>
      <c r="J1039" s="69">
        <v>6.9</v>
      </c>
      <c r="K1039" s="70">
        <v>1</v>
      </c>
      <c r="L1039" s="68">
        <v>98</v>
      </c>
      <c r="M1039" s="71"/>
      <c r="N1039" s="72">
        <v>6</v>
      </c>
      <c r="O1039" s="84">
        <v>98</v>
      </c>
      <c r="P1039" s="73">
        <v>0.75</v>
      </c>
      <c r="Q1039" s="84">
        <v>1</v>
      </c>
      <c r="R1039" s="74"/>
      <c r="S1039" s="74"/>
      <c r="T1039" s="75">
        <v>8.8000000000000007</v>
      </c>
      <c r="U1039" s="75">
        <v>1.5</v>
      </c>
      <c r="V1039" s="76"/>
      <c r="W1039" s="76">
        <v>0.85</v>
      </c>
      <c r="X1039" s="77">
        <v>126</v>
      </c>
      <c r="Y1039" s="78"/>
      <c r="Z1039" s="79"/>
      <c r="AA1039" s="69"/>
      <c r="AB1039" s="68"/>
      <c r="AC1039" s="68"/>
      <c r="AD1039" s="68"/>
      <c r="AE1039" s="80"/>
      <c r="AF1039" s="80"/>
      <c r="AG1039" s="80"/>
      <c r="AH1039" s="80"/>
      <c r="AI1039" s="81" t="s">
        <v>378</v>
      </c>
      <c r="AJ1039" s="81" t="s">
        <v>83</v>
      </c>
      <c r="AK1039" s="81">
        <v>1995</v>
      </c>
      <c r="AL1039" s="81" t="s">
        <v>362</v>
      </c>
      <c r="AM1039" s="81"/>
    </row>
    <row r="1040" spans="1:39" s="82" customFormat="1" x14ac:dyDescent="0.3">
      <c r="A1040" s="67">
        <v>190</v>
      </c>
      <c r="B1040" s="68"/>
      <c r="C1040" s="68"/>
      <c r="D1040" s="68">
        <v>0</v>
      </c>
      <c r="E1040" s="68"/>
      <c r="F1040" s="68">
        <v>3</v>
      </c>
      <c r="G1040" s="69">
        <v>6</v>
      </c>
      <c r="H1040" s="68">
        <v>0</v>
      </c>
      <c r="I1040" s="69">
        <v>6.06</v>
      </c>
      <c r="J1040" s="69">
        <v>7.5</v>
      </c>
      <c r="K1040" s="70">
        <v>1</v>
      </c>
      <c r="L1040" s="68">
        <v>147</v>
      </c>
      <c r="M1040" s="71"/>
      <c r="N1040" s="72">
        <v>6</v>
      </c>
      <c r="O1040" s="84">
        <v>147</v>
      </c>
      <c r="P1040" s="73"/>
      <c r="Q1040" s="84">
        <v>1</v>
      </c>
      <c r="R1040" s="74"/>
      <c r="S1040" s="74"/>
      <c r="T1040" s="75">
        <v>8.8000000000000007</v>
      </c>
      <c r="U1040" s="75">
        <v>1.9</v>
      </c>
      <c r="V1040" s="76"/>
      <c r="W1040" s="76">
        <v>0.81</v>
      </c>
      <c r="X1040" s="77">
        <v>175</v>
      </c>
      <c r="Y1040" s="78"/>
      <c r="Z1040" s="79"/>
      <c r="AA1040" s="69"/>
      <c r="AB1040" s="68"/>
      <c r="AC1040" s="68"/>
      <c r="AD1040" s="68"/>
      <c r="AE1040" s="80"/>
      <c r="AF1040" s="80"/>
      <c r="AG1040" s="80"/>
      <c r="AH1040" s="80"/>
      <c r="AI1040" s="81" t="s">
        <v>378</v>
      </c>
      <c r="AJ1040" s="81" t="s">
        <v>83</v>
      </c>
      <c r="AK1040" s="81">
        <v>1995</v>
      </c>
      <c r="AL1040" s="81" t="s">
        <v>84</v>
      </c>
      <c r="AM1040" s="81"/>
    </row>
    <row r="1041" spans="1:39" s="82" customFormat="1" x14ac:dyDescent="0.3">
      <c r="A1041" s="67">
        <v>195</v>
      </c>
      <c r="B1041" s="68"/>
      <c r="C1041" s="68"/>
      <c r="D1041" s="68">
        <v>0</v>
      </c>
      <c r="E1041" s="68"/>
      <c r="F1041" s="68">
        <v>0</v>
      </c>
      <c r="G1041" s="69">
        <v>6.3</v>
      </c>
      <c r="H1041" s="68">
        <v>0</v>
      </c>
      <c r="I1041" s="69">
        <v>5.2</v>
      </c>
      <c r="J1041" s="69">
        <v>6.9</v>
      </c>
      <c r="K1041" s="70">
        <v>1</v>
      </c>
      <c r="L1041" s="68">
        <v>0</v>
      </c>
      <c r="M1041" s="71"/>
      <c r="N1041" s="72">
        <v>6.3</v>
      </c>
      <c r="O1041" s="84">
        <v>0</v>
      </c>
      <c r="P1041" s="73"/>
      <c r="Q1041" s="84">
        <v>1</v>
      </c>
      <c r="R1041" s="74">
        <v>5.2</v>
      </c>
      <c r="S1041" s="74">
        <v>6.9</v>
      </c>
      <c r="T1041" s="75"/>
      <c r="U1041" s="75"/>
      <c r="V1041" s="76"/>
      <c r="W1041" s="76">
        <v>0.28000000000000003</v>
      </c>
      <c r="X1041" s="77">
        <v>42</v>
      </c>
      <c r="Y1041" s="78"/>
      <c r="Z1041" s="79"/>
      <c r="AA1041" s="69"/>
      <c r="AB1041" s="68"/>
      <c r="AC1041" s="68"/>
      <c r="AD1041" s="68"/>
      <c r="AE1041" s="80"/>
      <c r="AF1041" s="80"/>
      <c r="AG1041" s="80"/>
      <c r="AH1041" s="80"/>
      <c r="AI1041" s="81" t="s">
        <v>376</v>
      </c>
      <c r="AJ1041" s="81" t="s">
        <v>83</v>
      </c>
      <c r="AK1041" s="81">
        <v>1995</v>
      </c>
      <c r="AL1041" s="81" t="s">
        <v>362</v>
      </c>
      <c r="AM1041" s="81"/>
    </row>
    <row r="1042" spans="1:39" s="82" customFormat="1" x14ac:dyDescent="0.3">
      <c r="A1042" s="67">
        <v>195</v>
      </c>
      <c r="B1042" s="68"/>
      <c r="C1042" s="68"/>
      <c r="D1042" s="68">
        <v>0</v>
      </c>
      <c r="E1042" s="68"/>
      <c r="F1042" s="68">
        <v>1</v>
      </c>
      <c r="G1042" s="69">
        <v>6.3</v>
      </c>
      <c r="H1042" s="68">
        <v>0</v>
      </c>
      <c r="I1042" s="69">
        <v>5.2</v>
      </c>
      <c r="J1042" s="69">
        <v>6.9</v>
      </c>
      <c r="K1042" s="70">
        <v>1</v>
      </c>
      <c r="L1042" s="68">
        <v>42</v>
      </c>
      <c r="M1042" s="71"/>
      <c r="N1042" s="72">
        <v>6.3</v>
      </c>
      <c r="O1042" s="84">
        <v>42</v>
      </c>
      <c r="P1042" s="73">
        <v>0.28000000000000003</v>
      </c>
      <c r="Q1042" s="84">
        <v>1</v>
      </c>
      <c r="R1042" s="74"/>
      <c r="S1042" s="74"/>
      <c r="T1042" s="75"/>
      <c r="U1042" s="75"/>
      <c r="V1042" s="76"/>
      <c r="W1042" s="76">
        <v>0.65</v>
      </c>
      <c r="X1042" s="77">
        <v>70</v>
      </c>
      <c r="Y1042" s="78"/>
      <c r="Z1042" s="79"/>
      <c r="AA1042" s="69"/>
      <c r="AB1042" s="68"/>
      <c r="AC1042" s="68"/>
      <c r="AD1042" s="68"/>
      <c r="AE1042" s="80"/>
      <c r="AF1042" s="80"/>
      <c r="AG1042" s="80"/>
      <c r="AH1042" s="80"/>
      <c r="AI1042" s="81" t="s">
        <v>376</v>
      </c>
      <c r="AJ1042" s="81" t="s">
        <v>83</v>
      </c>
      <c r="AK1042" s="81">
        <v>1995</v>
      </c>
      <c r="AL1042" s="81" t="s">
        <v>362</v>
      </c>
      <c r="AM1042" s="81"/>
    </row>
    <row r="1043" spans="1:39" s="82" customFormat="1" x14ac:dyDescent="0.3">
      <c r="A1043" s="67">
        <v>161</v>
      </c>
      <c r="B1043" s="68"/>
      <c r="C1043" s="68"/>
      <c r="D1043" s="68">
        <v>0</v>
      </c>
      <c r="E1043" s="68"/>
      <c r="F1043" s="68">
        <v>1</v>
      </c>
      <c r="G1043" s="69">
        <v>6.3</v>
      </c>
      <c r="H1043" s="68">
        <v>0</v>
      </c>
      <c r="I1043" s="69">
        <v>6.06</v>
      </c>
      <c r="J1043" s="69">
        <v>7.5</v>
      </c>
      <c r="K1043" s="70">
        <v>1</v>
      </c>
      <c r="L1043" s="68">
        <v>56</v>
      </c>
      <c r="M1043" s="71"/>
      <c r="N1043" s="72">
        <v>6.3</v>
      </c>
      <c r="O1043" s="84">
        <v>56</v>
      </c>
      <c r="P1043" s="73"/>
      <c r="Q1043" s="84">
        <v>1</v>
      </c>
      <c r="R1043" s="74"/>
      <c r="S1043" s="74"/>
      <c r="T1043" s="75"/>
      <c r="U1043" s="75"/>
      <c r="V1043" s="76"/>
      <c r="W1043" s="76">
        <v>0.61</v>
      </c>
      <c r="X1043" s="77">
        <v>112</v>
      </c>
      <c r="Y1043" s="78"/>
      <c r="Z1043" s="79"/>
      <c r="AA1043" s="69"/>
      <c r="AB1043" s="68"/>
      <c r="AC1043" s="68"/>
      <c r="AD1043" s="68"/>
      <c r="AE1043" s="80"/>
      <c r="AF1043" s="80"/>
      <c r="AG1043" s="80"/>
      <c r="AH1043" s="80"/>
      <c r="AI1043" s="81" t="s">
        <v>376</v>
      </c>
      <c r="AJ1043" s="81" t="s">
        <v>83</v>
      </c>
      <c r="AK1043" s="81">
        <v>1995</v>
      </c>
      <c r="AL1043" s="81" t="s">
        <v>84</v>
      </c>
      <c r="AM1043" s="81"/>
    </row>
    <row r="1044" spans="1:39" s="82" customFormat="1" x14ac:dyDescent="0.3">
      <c r="A1044" s="67">
        <v>195</v>
      </c>
      <c r="B1044" s="68"/>
      <c r="C1044" s="68"/>
      <c r="D1044" s="68">
        <v>0</v>
      </c>
      <c r="E1044" s="68"/>
      <c r="F1044" s="68">
        <v>2</v>
      </c>
      <c r="G1044" s="69">
        <v>6.3</v>
      </c>
      <c r="H1044" s="68">
        <v>0</v>
      </c>
      <c r="I1044" s="69">
        <v>5.2</v>
      </c>
      <c r="J1044" s="69">
        <v>6.9</v>
      </c>
      <c r="K1044" s="70">
        <v>1</v>
      </c>
      <c r="L1044" s="68">
        <v>70</v>
      </c>
      <c r="M1044" s="71"/>
      <c r="N1044" s="72">
        <v>6.3</v>
      </c>
      <c r="O1044" s="84">
        <v>70</v>
      </c>
      <c r="P1044" s="73">
        <v>0.65</v>
      </c>
      <c r="Q1044" s="84">
        <v>1</v>
      </c>
      <c r="R1044" s="74"/>
      <c r="S1044" s="74"/>
      <c r="T1044" s="75"/>
      <c r="U1044" s="75"/>
      <c r="V1044" s="76"/>
      <c r="W1044" s="76">
        <v>0.82</v>
      </c>
      <c r="X1044" s="77">
        <v>98</v>
      </c>
      <c r="Y1044" s="78"/>
      <c r="Z1044" s="79"/>
      <c r="AA1044" s="69"/>
      <c r="AB1044" s="68"/>
      <c r="AC1044" s="68"/>
      <c r="AD1044" s="68"/>
      <c r="AE1044" s="80"/>
      <c r="AF1044" s="80"/>
      <c r="AG1044" s="80"/>
      <c r="AH1044" s="80"/>
      <c r="AI1044" s="81" t="s">
        <v>376</v>
      </c>
      <c r="AJ1044" s="81" t="s">
        <v>83</v>
      </c>
      <c r="AK1044" s="81">
        <v>1995</v>
      </c>
      <c r="AL1044" s="81" t="s">
        <v>362</v>
      </c>
      <c r="AM1044" s="81"/>
    </row>
    <row r="1045" spans="1:39" s="82" customFormat="1" x14ac:dyDescent="0.3">
      <c r="A1045" s="67">
        <v>195</v>
      </c>
      <c r="B1045" s="68"/>
      <c r="C1045" s="68"/>
      <c r="D1045" s="68">
        <v>0</v>
      </c>
      <c r="E1045" s="68"/>
      <c r="F1045" s="68">
        <v>3</v>
      </c>
      <c r="G1045" s="69">
        <v>6.3</v>
      </c>
      <c r="H1045" s="68">
        <v>0</v>
      </c>
      <c r="I1045" s="69">
        <v>5.2</v>
      </c>
      <c r="J1045" s="69">
        <v>6.9</v>
      </c>
      <c r="K1045" s="70">
        <v>1</v>
      </c>
      <c r="L1045" s="68">
        <v>98</v>
      </c>
      <c r="M1045" s="71"/>
      <c r="N1045" s="72">
        <v>6.3</v>
      </c>
      <c r="O1045" s="84">
        <v>98</v>
      </c>
      <c r="P1045" s="73">
        <v>0.82</v>
      </c>
      <c r="Q1045" s="84">
        <v>1</v>
      </c>
      <c r="R1045" s="74"/>
      <c r="S1045" s="74"/>
      <c r="T1045" s="75">
        <v>8.6999999999999993</v>
      </c>
      <c r="U1045" s="75">
        <v>2.4</v>
      </c>
      <c r="V1045" s="76"/>
      <c r="W1045" s="76">
        <v>0.92</v>
      </c>
      <c r="X1045" s="77">
        <v>126</v>
      </c>
      <c r="Y1045" s="78"/>
      <c r="Z1045" s="79"/>
      <c r="AA1045" s="69"/>
      <c r="AB1045" s="68"/>
      <c r="AC1045" s="68"/>
      <c r="AD1045" s="68"/>
      <c r="AE1045" s="80"/>
      <c r="AF1045" s="80"/>
      <c r="AG1045" s="80"/>
      <c r="AH1045" s="80"/>
      <c r="AI1045" s="81" t="s">
        <v>376</v>
      </c>
      <c r="AJ1045" s="81" t="s">
        <v>83</v>
      </c>
      <c r="AK1045" s="81">
        <v>1995</v>
      </c>
      <c r="AL1045" s="81" t="s">
        <v>362</v>
      </c>
      <c r="AM1045" s="81"/>
    </row>
    <row r="1046" spans="1:39" s="82" customFormat="1" x14ac:dyDescent="0.3">
      <c r="A1046" s="67">
        <v>161</v>
      </c>
      <c r="B1046" s="68"/>
      <c r="C1046" s="68"/>
      <c r="D1046" s="68">
        <v>0</v>
      </c>
      <c r="E1046" s="68"/>
      <c r="F1046" s="68">
        <v>3</v>
      </c>
      <c r="G1046" s="69">
        <v>6.3</v>
      </c>
      <c r="H1046" s="68">
        <v>0</v>
      </c>
      <c r="I1046" s="69">
        <v>6.06</v>
      </c>
      <c r="J1046" s="69">
        <v>7.5</v>
      </c>
      <c r="K1046" s="70">
        <v>1</v>
      </c>
      <c r="L1046" s="68">
        <v>147</v>
      </c>
      <c r="M1046" s="71"/>
      <c r="N1046" s="72">
        <v>6.3</v>
      </c>
      <c r="O1046" s="84">
        <v>147</v>
      </c>
      <c r="P1046" s="73"/>
      <c r="Q1046" s="84">
        <v>1</v>
      </c>
      <c r="R1046" s="74"/>
      <c r="S1046" s="74"/>
      <c r="T1046" s="75">
        <v>9</v>
      </c>
      <c r="U1046" s="75">
        <v>1.3</v>
      </c>
      <c r="V1046" s="76"/>
      <c r="W1046" s="76">
        <v>0.93</v>
      </c>
      <c r="X1046" s="77">
        <v>175</v>
      </c>
      <c r="Y1046" s="78"/>
      <c r="Z1046" s="79"/>
      <c r="AA1046" s="69"/>
      <c r="AB1046" s="68"/>
      <c r="AC1046" s="68"/>
      <c r="AD1046" s="68"/>
      <c r="AE1046" s="80"/>
      <c r="AF1046" s="80"/>
      <c r="AG1046" s="80"/>
      <c r="AH1046" s="80"/>
      <c r="AI1046" s="81" t="s">
        <v>376</v>
      </c>
      <c r="AJ1046" s="81" t="s">
        <v>83</v>
      </c>
      <c r="AK1046" s="81">
        <v>1995</v>
      </c>
      <c r="AL1046" s="81" t="s">
        <v>84</v>
      </c>
      <c r="AM1046" s="81"/>
    </row>
    <row r="1047" spans="1:39" s="82" customFormat="1" x14ac:dyDescent="0.3">
      <c r="A1047" s="67">
        <v>92</v>
      </c>
      <c r="B1047" s="68"/>
      <c r="C1047" s="68"/>
      <c r="D1047" s="68">
        <v>0</v>
      </c>
      <c r="E1047" s="68"/>
      <c r="F1047" s="68">
        <v>3</v>
      </c>
      <c r="G1047" s="69">
        <v>6</v>
      </c>
      <c r="H1047" s="68">
        <v>0</v>
      </c>
      <c r="I1047" s="69">
        <v>3.5</v>
      </c>
      <c r="J1047" s="69">
        <v>5</v>
      </c>
      <c r="K1047" s="70">
        <v>1</v>
      </c>
      <c r="L1047" s="68">
        <v>98</v>
      </c>
      <c r="M1047" s="71"/>
      <c r="N1047" s="72">
        <v>6</v>
      </c>
      <c r="O1047" s="84"/>
      <c r="P1047" s="73"/>
      <c r="Q1047" s="84">
        <v>1</v>
      </c>
      <c r="R1047" s="74"/>
      <c r="S1047" s="74"/>
      <c r="T1047" s="75"/>
      <c r="U1047" s="75"/>
      <c r="V1047" s="76"/>
      <c r="W1047" s="76">
        <f>87/92</f>
        <v>0.94565217391304346</v>
      </c>
      <c r="X1047" s="77">
        <v>126</v>
      </c>
      <c r="Y1047" s="78"/>
      <c r="Z1047" s="79"/>
      <c r="AA1047" s="69"/>
      <c r="AB1047" s="68"/>
      <c r="AC1047" s="68"/>
      <c r="AD1047" s="68"/>
      <c r="AE1047" s="80"/>
      <c r="AF1047" s="80"/>
      <c r="AG1047" s="80"/>
      <c r="AH1047" s="80"/>
      <c r="AI1047" s="81" t="s">
        <v>366</v>
      </c>
      <c r="AJ1047" s="81" t="s">
        <v>83</v>
      </c>
      <c r="AK1047" s="81">
        <v>1995</v>
      </c>
      <c r="AL1047" s="81" t="s">
        <v>362</v>
      </c>
      <c r="AM1047" s="81" t="s">
        <v>384</v>
      </c>
    </row>
    <row r="1048" spans="1:39" s="82" customFormat="1" x14ac:dyDescent="0.3">
      <c r="A1048" s="67">
        <v>49</v>
      </c>
      <c r="B1048" s="68"/>
      <c r="C1048" s="68"/>
      <c r="D1048" s="68">
        <v>0</v>
      </c>
      <c r="E1048" s="68"/>
      <c r="F1048" s="68">
        <v>3</v>
      </c>
      <c r="G1048" s="69">
        <v>6</v>
      </c>
      <c r="H1048" s="68">
        <v>0</v>
      </c>
      <c r="I1048" s="69">
        <v>3.5</v>
      </c>
      <c r="J1048" s="69">
        <v>5</v>
      </c>
      <c r="K1048" s="70">
        <v>1</v>
      </c>
      <c r="L1048" s="68">
        <v>147</v>
      </c>
      <c r="M1048" s="71"/>
      <c r="N1048" s="72">
        <v>6</v>
      </c>
      <c r="O1048" s="84"/>
      <c r="P1048" s="73"/>
      <c r="Q1048" s="84">
        <v>1</v>
      </c>
      <c r="R1048" s="74"/>
      <c r="S1048" s="74"/>
      <c r="T1048" s="75"/>
      <c r="U1048" s="75"/>
      <c r="V1048" s="76"/>
      <c r="W1048" s="76">
        <f>48/49</f>
        <v>0.97959183673469385</v>
      </c>
      <c r="X1048" s="77">
        <v>175</v>
      </c>
      <c r="Y1048" s="78"/>
      <c r="Z1048" s="79"/>
      <c r="AA1048" s="69"/>
      <c r="AB1048" s="68"/>
      <c r="AC1048" s="68"/>
      <c r="AD1048" s="68"/>
      <c r="AE1048" s="80"/>
      <c r="AF1048" s="80"/>
      <c r="AG1048" s="80"/>
      <c r="AH1048" s="80"/>
      <c r="AI1048" s="81" t="s">
        <v>366</v>
      </c>
      <c r="AJ1048" s="81" t="s">
        <v>83</v>
      </c>
      <c r="AK1048" s="81">
        <v>1995</v>
      </c>
      <c r="AL1048" s="81" t="s">
        <v>84</v>
      </c>
      <c r="AM1048" s="81" t="s">
        <v>384</v>
      </c>
    </row>
    <row r="1049" spans="1:39" s="82" customFormat="1" x14ac:dyDescent="0.3">
      <c r="A1049" s="67">
        <v>79</v>
      </c>
      <c r="B1049" s="68"/>
      <c r="C1049" s="68"/>
      <c r="D1049" s="68">
        <v>0</v>
      </c>
      <c r="E1049" s="68"/>
      <c r="F1049" s="68">
        <v>3</v>
      </c>
      <c r="G1049" s="69">
        <v>6</v>
      </c>
      <c r="H1049" s="68">
        <v>0</v>
      </c>
      <c r="I1049" s="69">
        <v>3.5</v>
      </c>
      <c r="J1049" s="69">
        <v>5</v>
      </c>
      <c r="K1049" s="70">
        <v>1</v>
      </c>
      <c r="L1049" s="68">
        <v>98</v>
      </c>
      <c r="M1049" s="71"/>
      <c r="N1049" s="72">
        <v>6</v>
      </c>
      <c r="O1049" s="84"/>
      <c r="P1049" s="73"/>
      <c r="Q1049" s="84">
        <v>1</v>
      </c>
      <c r="R1049" s="74"/>
      <c r="S1049" s="74"/>
      <c r="T1049" s="75"/>
      <c r="U1049" s="75"/>
      <c r="V1049" s="76"/>
      <c r="W1049" s="76">
        <f>73/79</f>
        <v>0.92405063291139244</v>
      </c>
      <c r="X1049" s="77">
        <v>126</v>
      </c>
      <c r="Y1049" s="78"/>
      <c r="Z1049" s="79"/>
      <c r="AA1049" s="69"/>
      <c r="AB1049" s="68"/>
      <c r="AC1049" s="68"/>
      <c r="AD1049" s="68"/>
      <c r="AE1049" s="80"/>
      <c r="AF1049" s="80"/>
      <c r="AG1049" s="80"/>
      <c r="AH1049" s="80"/>
      <c r="AI1049" s="81" t="s">
        <v>372</v>
      </c>
      <c r="AJ1049" s="81" t="s">
        <v>83</v>
      </c>
      <c r="AK1049" s="81">
        <v>1995</v>
      </c>
      <c r="AL1049" s="81" t="s">
        <v>362</v>
      </c>
      <c r="AM1049" s="81" t="s">
        <v>384</v>
      </c>
    </row>
    <row r="1050" spans="1:39" s="82" customFormat="1" x14ac:dyDescent="0.3">
      <c r="A1050" s="67">
        <v>44</v>
      </c>
      <c r="B1050" s="68"/>
      <c r="C1050" s="68"/>
      <c r="D1050" s="68">
        <v>0</v>
      </c>
      <c r="E1050" s="68"/>
      <c r="F1050" s="68">
        <v>3</v>
      </c>
      <c r="G1050" s="69">
        <v>6</v>
      </c>
      <c r="H1050" s="68">
        <v>0</v>
      </c>
      <c r="I1050" s="69">
        <v>3.5</v>
      </c>
      <c r="J1050" s="69">
        <v>5</v>
      </c>
      <c r="K1050" s="70">
        <v>1</v>
      </c>
      <c r="L1050" s="68">
        <v>147</v>
      </c>
      <c r="M1050" s="71"/>
      <c r="N1050" s="72">
        <v>6</v>
      </c>
      <c r="O1050" s="84"/>
      <c r="P1050" s="73"/>
      <c r="Q1050" s="84">
        <v>1</v>
      </c>
      <c r="R1050" s="74"/>
      <c r="S1050" s="74"/>
      <c r="T1050" s="75"/>
      <c r="U1050" s="75"/>
      <c r="V1050" s="76"/>
      <c r="W1050" s="76">
        <f>41/44</f>
        <v>0.93181818181818177</v>
      </c>
      <c r="X1050" s="77">
        <v>175</v>
      </c>
      <c r="Y1050" s="78"/>
      <c r="Z1050" s="79"/>
      <c r="AA1050" s="69"/>
      <c r="AB1050" s="68"/>
      <c r="AC1050" s="68"/>
      <c r="AD1050" s="68"/>
      <c r="AE1050" s="80"/>
      <c r="AF1050" s="80"/>
      <c r="AG1050" s="80"/>
      <c r="AH1050" s="80"/>
      <c r="AI1050" s="81" t="s">
        <v>372</v>
      </c>
      <c r="AJ1050" s="81" t="s">
        <v>83</v>
      </c>
      <c r="AK1050" s="81">
        <v>1995</v>
      </c>
      <c r="AL1050" s="81" t="s">
        <v>84</v>
      </c>
      <c r="AM1050" s="81" t="s">
        <v>384</v>
      </c>
    </row>
    <row r="1051" spans="1:39" s="82" customFormat="1" x14ac:dyDescent="0.3">
      <c r="A1051" s="67">
        <v>78</v>
      </c>
      <c r="B1051" s="68"/>
      <c r="C1051" s="68"/>
      <c r="D1051" s="68">
        <v>0</v>
      </c>
      <c r="E1051" s="68"/>
      <c r="F1051" s="68">
        <v>3</v>
      </c>
      <c r="G1051" s="69">
        <v>6</v>
      </c>
      <c r="H1051" s="68">
        <v>0</v>
      </c>
      <c r="I1051" s="69">
        <v>3.5</v>
      </c>
      <c r="J1051" s="69">
        <v>5</v>
      </c>
      <c r="K1051" s="70">
        <v>1</v>
      </c>
      <c r="L1051" s="68">
        <v>98</v>
      </c>
      <c r="M1051" s="71"/>
      <c r="N1051" s="72">
        <v>6</v>
      </c>
      <c r="O1051" s="84"/>
      <c r="P1051" s="73"/>
      <c r="Q1051" s="84">
        <v>1</v>
      </c>
      <c r="R1051" s="74"/>
      <c r="S1051" s="74"/>
      <c r="T1051" s="75"/>
      <c r="U1051" s="75"/>
      <c r="V1051" s="76"/>
      <c r="W1051" s="76">
        <f>72/78</f>
        <v>0.92307692307692313</v>
      </c>
      <c r="X1051" s="77">
        <v>126</v>
      </c>
      <c r="Y1051" s="78"/>
      <c r="Z1051" s="79"/>
      <c r="AA1051" s="69"/>
      <c r="AB1051" s="68"/>
      <c r="AC1051" s="68"/>
      <c r="AD1051" s="68"/>
      <c r="AE1051" s="80"/>
      <c r="AF1051" s="80"/>
      <c r="AG1051" s="80"/>
      <c r="AH1051" s="80"/>
      <c r="AI1051" s="81" t="s">
        <v>369</v>
      </c>
      <c r="AJ1051" s="81" t="s">
        <v>83</v>
      </c>
      <c r="AK1051" s="81">
        <v>1995</v>
      </c>
      <c r="AL1051" s="81" t="s">
        <v>362</v>
      </c>
      <c r="AM1051" s="81" t="s">
        <v>384</v>
      </c>
    </row>
    <row r="1052" spans="1:39" s="82" customFormat="1" x14ac:dyDescent="0.3">
      <c r="A1052" s="67">
        <v>57</v>
      </c>
      <c r="B1052" s="68"/>
      <c r="C1052" s="68"/>
      <c r="D1052" s="68">
        <v>0</v>
      </c>
      <c r="E1052" s="68"/>
      <c r="F1052" s="68">
        <v>3</v>
      </c>
      <c r="G1052" s="69">
        <v>6</v>
      </c>
      <c r="H1052" s="68">
        <v>0</v>
      </c>
      <c r="I1052" s="69">
        <v>3.5</v>
      </c>
      <c r="J1052" s="69">
        <v>5</v>
      </c>
      <c r="K1052" s="70">
        <v>1</v>
      </c>
      <c r="L1052" s="68">
        <v>147</v>
      </c>
      <c r="M1052" s="71"/>
      <c r="N1052" s="72">
        <v>6</v>
      </c>
      <c r="O1052" s="84"/>
      <c r="P1052" s="73"/>
      <c r="Q1052" s="84">
        <v>1</v>
      </c>
      <c r="R1052" s="74"/>
      <c r="S1052" s="74"/>
      <c r="T1052" s="75"/>
      <c r="U1052" s="75"/>
      <c r="V1052" s="76"/>
      <c r="W1052" s="76">
        <f>54/57</f>
        <v>0.94736842105263153</v>
      </c>
      <c r="X1052" s="77">
        <v>175</v>
      </c>
      <c r="Y1052" s="78"/>
      <c r="Z1052" s="79"/>
      <c r="AA1052" s="69"/>
      <c r="AB1052" s="68"/>
      <c r="AC1052" s="68"/>
      <c r="AD1052" s="68"/>
      <c r="AE1052" s="80"/>
      <c r="AF1052" s="80"/>
      <c r="AG1052" s="80"/>
      <c r="AH1052" s="80"/>
      <c r="AI1052" s="81" t="s">
        <v>369</v>
      </c>
      <c r="AJ1052" s="81" t="s">
        <v>83</v>
      </c>
      <c r="AK1052" s="81">
        <v>1995</v>
      </c>
      <c r="AL1052" s="81" t="s">
        <v>84</v>
      </c>
      <c r="AM1052" s="81" t="s">
        <v>384</v>
      </c>
    </row>
    <row r="1053" spans="1:39" x14ac:dyDescent="0.3">
      <c r="A1053" s="1">
        <v>97</v>
      </c>
      <c r="D1053" s="2">
        <v>0</v>
      </c>
      <c r="F1053" s="2">
        <v>3</v>
      </c>
      <c r="G1053" s="3">
        <v>6.3</v>
      </c>
      <c r="H1053" s="2">
        <v>0</v>
      </c>
      <c r="I1053" s="3">
        <v>3.5</v>
      </c>
      <c r="J1053" s="3">
        <v>5</v>
      </c>
      <c r="K1053" s="4">
        <v>1</v>
      </c>
      <c r="L1053" s="2">
        <v>98</v>
      </c>
      <c r="N1053" s="6">
        <v>6.3</v>
      </c>
      <c r="Q1053" s="84">
        <v>1</v>
      </c>
      <c r="W1053" s="10">
        <f>94/97</f>
        <v>0.96907216494845361</v>
      </c>
      <c r="X1053" s="11">
        <v>126</v>
      </c>
      <c r="AI1053" s="81" t="s">
        <v>363</v>
      </c>
      <c r="AJ1053" s="81" t="s">
        <v>83</v>
      </c>
      <c r="AK1053" s="15">
        <v>1995</v>
      </c>
      <c r="AL1053" s="81" t="s">
        <v>362</v>
      </c>
      <c r="AM1053" s="15" t="s">
        <v>384</v>
      </c>
    </row>
    <row r="1054" spans="1:39" x14ac:dyDescent="0.3">
      <c r="A1054" s="67">
        <v>42</v>
      </c>
      <c r="D1054" s="2">
        <v>0</v>
      </c>
      <c r="F1054" s="2">
        <v>3</v>
      </c>
      <c r="G1054" s="3">
        <v>6.3</v>
      </c>
      <c r="H1054" s="2">
        <v>0</v>
      </c>
      <c r="I1054" s="3">
        <v>3.5</v>
      </c>
      <c r="J1054" s="3">
        <v>5</v>
      </c>
      <c r="K1054" s="4">
        <v>1</v>
      </c>
      <c r="L1054" s="2">
        <v>147</v>
      </c>
      <c r="N1054" s="6">
        <v>6.3</v>
      </c>
      <c r="Q1054" s="84">
        <v>1</v>
      </c>
      <c r="W1054" s="10">
        <f>42/42</f>
        <v>1</v>
      </c>
      <c r="X1054" s="11">
        <v>175</v>
      </c>
      <c r="AI1054" s="81" t="s">
        <v>363</v>
      </c>
      <c r="AJ1054" s="81" t="s">
        <v>83</v>
      </c>
      <c r="AK1054" s="81">
        <v>1995</v>
      </c>
      <c r="AL1054" s="81" t="s">
        <v>84</v>
      </c>
      <c r="AM1054" s="15" t="s">
        <v>384</v>
      </c>
    </row>
    <row r="1055" spans="1:39" x14ac:dyDescent="0.3">
      <c r="A1055" s="67">
        <v>24</v>
      </c>
      <c r="D1055" s="2">
        <v>0</v>
      </c>
      <c r="F1055" s="2">
        <v>3</v>
      </c>
      <c r="G1055" s="3">
        <v>6</v>
      </c>
      <c r="H1055" s="2">
        <v>0</v>
      </c>
      <c r="I1055" s="3">
        <v>9</v>
      </c>
      <c r="J1055" s="3">
        <v>0.65</v>
      </c>
      <c r="K1055" s="4">
        <v>1</v>
      </c>
      <c r="L1055" s="2">
        <v>98</v>
      </c>
      <c r="N1055" s="6">
        <v>6</v>
      </c>
      <c r="Q1055" s="84">
        <v>1</v>
      </c>
      <c r="W1055" s="10">
        <f>20/24</f>
        <v>0.83333333333333337</v>
      </c>
      <c r="X1055" s="11">
        <v>126</v>
      </c>
      <c r="AI1055" s="81" t="s">
        <v>368</v>
      </c>
      <c r="AJ1055" s="81" t="s">
        <v>83</v>
      </c>
      <c r="AK1055" s="81">
        <v>1995</v>
      </c>
      <c r="AL1055" s="81" t="s">
        <v>362</v>
      </c>
      <c r="AM1055" s="15" t="s">
        <v>384</v>
      </c>
    </row>
    <row r="1056" spans="1:39" x14ac:dyDescent="0.3">
      <c r="A1056" s="67">
        <v>52</v>
      </c>
      <c r="D1056" s="2">
        <v>0</v>
      </c>
      <c r="F1056" s="68">
        <v>3</v>
      </c>
      <c r="G1056" s="3">
        <v>6</v>
      </c>
      <c r="H1056" s="2">
        <v>0</v>
      </c>
      <c r="I1056" s="3">
        <v>9</v>
      </c>
      <c r="J1056" s="3">
        <v>0.65</v>
      </c>
      <c r="K1056" s="4">
        <v>1</v>
      </c>
      <c r="L1056" s="68">
        <v>147</v>
      </c>
      <c r="N1056" s="6">
        <v>6</v>
      </c>
      <c r="Q1056" s="84">
        <v>1</v>
      </c>
      <c r="W1056" s="10">
        <f>37/52</f>
        <v>0.71153846153846156</v>
      </c>
      <c r="X1056" s="11">
        <v>175</v>
      </c>
      <c r="AI1056" s="81" t="s">
        <v>368</v>
      </c>
      <c r="AJ1056" s="81" t="s">
        <v>83</v>
      </c>
      <c r="AK1056" s="81">
        <v>1995</v>
      </c>
      <c r="AL1056" s="81" t="s">
        <v>84</v>
      </c>
      <c r="AM1056" s="15" t="s">
        <v>384</v>
      </c>
    </row>
    <row r="1057" spans="1:39" x14ac:dyDescent="0.3">
      <c r="A1057" s="67">
        <v>26</v>
      </c>
      <c r="D1057" s="2">
        <v>0</v>
      </c>
      <c r="F1057" s="68">
        <v>3</v>
      </c>
      <c r="G1057" s="3">
        <v>6</v>
      </c>
      <c r="H1057" s="2">
        <v>0</v>
      </c>
      <c r="I1057" s="3">
        <v>9</v>
      </c>
      <c r="J1057" s="3">
        <v>0.65</v>
      </c>
      <c r="K1057" s="4">
        <v>1</v>
      </c>
      <c r="L1057" s="68">
        <v>98</v>
      </c>
      <c r="N1057" s="6">
        <v>6</v>
      </c>
      <c r="Q1057" s="84">
        <v>1</v>
      </c>
      <c r="W1057" s="10">
        <f>19/26</f>
        <v>0.73076923076923073</v>
      </c>
      <c r="X1057" s="11">
        <v>126</v>
      </c>
      <c r="AI1057" s="81" t="s">
        <v>374</v>
      </c>
      <c r="AJ1057" s="81" t="s">
        <v>83</v>
      </c>
      <c r="AK1057" s="81">
        <v>1995</v>
      </c>
      <c r="AL1057" s="81" t="s">
        <v>362</v>
      </c>
      <c r="AM1057" s="15" t="s">
        <v>384</v>
      </c>
    </row>
    <row r="1058" spans="1:39" x14ac:dyDescent="0.3">
      <c r="A1058" s="67">
        <v>49</v>
      </c>
      <c r="D1058" s="2">
        <v>0</v>
      </c>
      <c r="F1058" s="68">
        <v>3</v>
      </c>
      <c r="G1058" s="3">
        <v>6</v>
      </c>
      <c r="H1058" s="2">
        <v>0</v>
      </c>
      <c r="I1058" s="3">
        <v>9</v>
      </c>
      <c r="J1058" s="3">
        <v>0.65</v>
      </c>
      <c r="K1058" s="4">
        <v>1</v>
      </c>
      <c r="L1058" s="68">
        <v>147</v>
      </c>
      <c r="N1058" s="6">
        <v>6</v>
      </c>
      <c r="Q1058" s="84">
        <v>1</v>
      </c>
      <c r="W1058" s="10">
        <f>33/49</f>
        <v>0.67346938775510201</v>
      </c>
      <c r="X1058" s="11">
        <v>175</v>
      </c>
      <c r="AI1058" s="81" t="s">
        <v>374</v>
      </c>
      <c r="AJ1058" s="81" t="s">
        <v>83</v>
      </c>
      <c r="AK1058" s="81">
        <v>1995</v>
      </c>
      <c r="AL1058" s="81" t="s">
        <v>84</v>
      </c>
      <c r="AM1058" s="15" t="s">
        <v>384</v>
      </c>
    </row>
    <row r="1059" spans="1:39" x14ac:dyDescent="0.3">
      <c r="A1059" s="67">
        <v>25</v>
      </c>
      <c r="D1059" s="2">
        <v>0</v>
      </c>
      <c r="F1059" s="68">
        <v>3</v>
      </c>
      <c r="G1059" s="3">
        <v>6</v>
      </c>
      <c r="H1059" s="2">
        <v>0</v>
      </c>
      <c r="I1059" s="3">
        <v>9</v>
      </c>
      <c r="J1059" s="3">
        <v>0.65</v>
      </c>
      <c r="K1059" s="4">
        <v>1</v>
      </c>
      <c r="L1059" s="68">
        <v>98</v>
      </c>
      <c r="N1059" s="6">
        <v>6</v>
      </c>
      <c r="Q1059" s="84">
        <v>1</v>
      </c>
      <c r="W1059" s="10">
        <f>16/25</f>
        <v>0.64</v>
      </c>
      <c r="X1059" s="11">
        <v>126</v>
      </c>
      <c r="AI1059" s="81" t="s">
        <v>371</v>
      </c>
      <c r="AJ1059" s="81" t="s">
        <v>83</v>
      </c>
      <c r="AK1059" s="81">
        <v>1995</v>
      </c>
      <c r="AL1059" s="81" t="s">
        <v>362</v>
      </c>
      <c r="AM1059" s="15" t="s">
        <v>384</v>
      </c>
    </row>
    <row r="1060" spans="1:39" x14ac:dyDescent="0.3">
      <c r="A1060" s="67">
        <v>58</v>
      </c>
      <c r="D1060" s="2">
        <v>0</v>
      </c>
      <c r="F1060" s="68">
        <v>3</v>
      </c>
      <c r="G1060" s="3">
        <v>6</v>
      </c>
      <c r="H1060" s="2">
        <v>0</v>
      </c>
      <c r="I1060" s="3">
        <v>9</v>
      </c>
      <c r="J1060" s="3">
        <v>0.65</v>
      </c>
      <c r="K1060" s="4">
        <v>1</v>
      </c>
      <c r="L1060" s="68">
        <v>147</v>
      </c>
      <c r="N1060" s="72">
        <v>6</v>
      </c>
      <c r="Q1060" s="84">
        <v>1</v>
      </c>
      <c r="W1060" s="10">
        <f>39/58</f>
        <v>0.67241379310344829</v>
      </c>
      <c r="X1060" s="11">
        <v>175</v>
      </c>
      <c r="AI1060" s="81" t="s">
        <v>371</v>
      </c>
      <c r="AJ1060" s="81" t="s">
        <v>83</v>
      </c>
      <c r="AK1060" s="81">
        <v>1995</v>
      </c>
      <c r="AL1060" s="81" t="s">
        <v>84</v>
      </c>
      <c r="AM1060" s="15" t="s">
        <v>384</v>
      </c>
    </row>
    <row r="1061" spans="1:39" x14ac:dyDescent="0.3">
      <c r="A1061" s="1">
        <v>24</v>
      </c>
      <c r="D1061" s="2">
        <v>0</v>
      </c>
      <c r="F1061" s="68">
        <v>3</v>
      </c>
      <c r="G1061" s="3">
        <v>6.3</v>
      </c>
      <c r="H1061" s="2">
        <v>0</v>
      </c>
      <c r="I1061" s="3">
        <v>9</v>
      </c>
      <c r="J1061" s="3">
        <v>0.65</v>
      </c>
      <c r="K1061" s="4">
        <v>1</v>
      </c>
      <c r="L1061" s="68">
        <v>98</v>
      </c>
      <c r="N1061" s="72">
        <v>6.3</v>
      </c>
      <c r="Q1061" s="84">
        <v>1</v>
      </c>
      <c r="W1061" s="10">
        <f>17/24</f>
        <v>0.70833333333333337</v>
      </c>
      <c r="X1061" s="11">
        <v>126</v>
      </c>
      <c r="AI1061" s="81" t="s">
        <v>365</v>
      </c>
      <c r="AJ1061" s="81" t="s">
        <v>83</v>
      </c>
      <c r="AK1061" s="81">
        <v>1995</v>
      </c>
      <c r="AL1061" s="81" t="s">
        <v>362</v>
      </c>
      <c r="AM1061" s="15" t="s">
        <v>384</v>
      </c>
    </row>
    <row r="1062" spans="1:39" x14ac:dyDescent="0.3">
      <c r="A1062" s="1">
        <v>57</v>
      </c>
      <c r="D1062" s="2">
        <v>0</v>
      </c>
      <c r="F1062" s="2">
        <v>3</v>
      </c>
      <c r="G1062" s="3">
        <v>6.3</v>
      </c>
      <c r="H1062" s="2">
        <v>0</v>
      </c>
      <c r="I1062" s="3">
        <v>9</v>
      </c>
      <c r="J1062" s="3">
        <v>0.65</v>
      </c>
      <c r="K1062" s="4">
        <v>1</v>
      </c>
      <c r="L1062" s="68">
        <v>147</v>
      </c>
      <c r="N1062" s="6">
        <v>6.3</v>
      </c>
      <c r="Q1062" s="84">
        <v>1</v>
      </c>
      <c r="W1062" s="10">
        <f>49/57</f>
        <v>0.85964912280701755</v>
      </c>
      <c r="X1062" s="11">
        <v>175</v>
      </c>
      <c r="AI1062" s="81" t="s">
        <v>365</v>
      </c>
      <c r="AJ1062" s="81" t="s">
        <v>83</v>
      </c>
      <c r="AK1062" s="81">
        <v>1995</v>
      </c>
      <c r="AL1062" s="81" t="s">
        <v>84</v>
      </c>
      <c r="AM1062" s="15" t="s">
        <v>384</v>
      </c>
    </row>
    <row r="1063" spans="1:39" x14ac:dyDescent="0.3">
      <c r="A1063" s="67">
        <v>68</v>
      </c>
      <c r="D1063" s="2">
        <v>0</v>
      </c>
      <c r="F1063" s="2">
        <v>3</v>
      </c>
      <c r="G1063" s="3">
        <v>6</v>
      </c>
      <c r="H1063" s="2">
        <v>0</v>
      </c>
      <c r="I1063" s="3">
        <v>6.5</v>
      </c>
      <c r="J1063" s="3">
        <v>0.25</v>
      </c>
      <c r="K1063" s="4">
        <v>1</v>
      </c>
      <c r="L1063" s="68">
        <v>98</v>
      </c>
      <c r="N1063" s="6">
        <v>6</v>
      </c>
      <c r="Q1063" s="84">
        <v>1</v>
      </c>
      <c r="W1063" s="10">
        <f>51/68</f>
        <v>0.75</v>
      </c>
      <c r="X1063" s="11">
        <v>126</v>
      </c>
      <c r="AI1063" s="81" t="s">
        <v>367</v>
      </c>
      <c r="AJ1063" s="81" t="s">
        <v>83</v>
      </c>
      <c r="AK1063" s="81">
        <v>1995</v>
      </c>
      <c r="AL1063" s="81" t="s">
        <v>362</v>
      </c>
      <c r="AM1063" s="15" t="s">
        <v>384</v>
      </c>
    </row>
    <row r="1064" spans="1:39" x14ac:dyDescent="0.3">
      <c r="A1064" s="67">
        <v>68</v>
      </c>
      <c r="D1064" s="2">
        <v>0</v>
      </c>
      <c r="F1064" s="2">
        <v>3</v>
      </c>
      <c r="G1064" s="3">
        <v>6</v>
      </c>
      <c r="H1064" s="2">
        <v>0</v>
      </c>
      <c r="I1064" s="3">
        <v>6.5</v>
      </c>
      <c r="J1064" s="3">
        <v>0.25</v>
      </c>
      <c r="K1064" s="4">
        <v>1</v>
      </c>
      <c r="L1064" s="68">
        <v>147</v>
      </c>
      <c r="N1064" s="6">
        <v>6</v>
      </c>
      <c r="Q1064" s="84">
        <v>1</v>
      </c>
      <c r="W1064" s="10">
        <f>59/68</f>
        <v>0.86764705882352944</v>
      </c>
      <c r="X1064" s="11">
        <v>175</v>
      </c>
      <c r="AI1064" s="81" t="s">
        <v>367</v>
      </c>
      <c r="AJ1064" s="81" t="s">
        <v>83</v>
      </c>
      <c r="AK1064" s="81">
        <v>1995</v>
      </c>
      <c r="AL1064" s="81" t="s">
        <v>84</v>
      </c>
      <c r="AM1064" s="15" t="s">
        <v>384</v>
      </c>
    </row>
    <row r="1065" spans="1:39" x14ac:dyDescent="0.3">
      <c r="A1065" s="67">
        <v>71</v>
      </c>
      <c r="D1065" s="2">
        <v>0</v>
      </c>
      <c r="F1065" s="2">
        <v>3</v>
      </c>
      <c r="G1065" s="3">
        <v>6</v>
      </c>
      <c r="H1065" s="2">
        <v>0</v>
      </c>
      <c r="I1065" s="3">
        <v>6.5</v>
      </c>
      <c r="J1065" s="3">
        <v>0.25</v>
      </c>
      <c r="K1065" s="4">
        <v>1</v>
      </c>
      <c r="L1065" s="68">
        <v>98</v>
      </c>
      <c r="N1065" s="6">
        <v>6</v>
      </c>
      <c r="Q1065" s="84">
        <v>1</v>
      </c>
      <c r="W1065" s="10">
        <f>56/71</f>
        <v>0.78873239436619713</v>
      </c>
      <c r="X1065" s="11">
        <v>126</v>
      </c>
      <c r="AI1065" s="81" t="s">
        <v>373</v>
      </c>
      <c r="AJ1065" s="81" t="s">
        <v>83</v>
      </c>
      <c r="AK1065" s="81">
        <v>1995</v>
      </c>
      <c r="AL1065" s="81" t="s">
        <v>362</v>
      </c>
      <c r="AM1065" s="15" t="s">
        <v>384</v>
      </c>
    </row>
    <row r="1066" spans="1:39" x14ac:dyDescent="0.3">
      <c r="A1066" s="67">
        <v>63</v>
      </c>
      <c r="D1066" s="2">
        <v>0</v>
      </c>
      <c r="F1066" s="2">
        <v>3</v>
      </c>
      <c r="G1066" s="3">
        <v>6</v>
      </c>
      <c r="H1066" s="2">
        <v>0</v>
      </c>
      <c r="I1066" s="3">
        <v>6.5</v>
      </c>
      <c r="J1066" s="3">
        <v>0.25</v>
      </c>
      <c r="K1066" s="4">
        <v>1</v>
      </c>
      <c r="L1066" s="68">
        <v>147</v>
      </c>
      <c r="N1066" s="6">
        <v>6</v>
      </c>
      <c r="Q1066" s="84">
        <v>1</v>
      </c>
      <c r="W1066" s="10">
        <f>50/63</f>
        <v>0.79365079365079361</v>
      </c>
      <c r="X1066" s="11">
        <v>175</v>
      </c>
      <c r="AI1066" s="81" t="s">
        <v>373</v>
      </c>
      <c r="AJ1066" s="81" t="s">
        <v>83</v>
      </c>
      <c r="AK1066" s="81">
        <v>1995</v>
      </c>
      <c r="AL1066" s="81" t="s">
        <v>84</v>
      </c>
      <c r="AM1066" s="15" t="s">
        <v>384</v>
      </c>
    </row>
    <row r="1067" spans="1:39" x14ac:dyDescent="0.3">
      <c r="A1067" s="67">
        <v>72</v>
      </c>
      <c r="D1067" s="2">
        <v>0</v>
      </c>
      <c r="F1067" s="2">
        <v>3</v>
      </c>
      <c r="G1067" s="3">
        <v>6</v>
      </c>
      <c r="H1067" s="2">
        <v>0</v>
      </c>
      <c r="I1067" s="3">
        <v>6.5</v>
      </c>
      <c r="J1067" s="3">
        <v>0.25</v>
      </c>
      <c r="K1067" s="4">
        <v>1</v>
      </c>
      <c r="L1067" s="68">
        <v>98</v>
      </c>
      <c r="N1067" s="6">
        <v>6</v>
      </c>
      <c r="Q1067" s="84">
        <v>1</v>
      </c>
      <c r="W1067" s="10">
        <f>60/72</f>
        <v>0.83333333333333337</v>
      </c>
      <c r="X1067" s="11">
        <v>126</v>
      </c>
      <c r="AI1067" s="81" t="s">
        <v>370</v>
      </c>
      <c r="AJ1067" s="81" t="s">
        <v>83</v>
      </c>
      <c r="AK1067" s="81">
        <v>1995</v>
      </c>
      <c r="AL1067" s="81" t="s">
        <v>362</v>
      </c>
      <c r="AM1067" s="15" t="s">
        <v>384</v>
      </c>
    </row>
    <row r="1068" spans="1:39" x14ac:dyDescent="0.3">
      <c r="A1068" s="67">
        <v>75</v>
      </c>
      <c r="D1068" s="2">
        <v>0</v>
      </c>
      <c r="F1068" s="2">
        <v>3</v>
      </c>
      <c r="G1068" s="3">
        <v>6</v>
      </c>
      <c r="H1068" s="2">
        <v>0</v>
      </c>
      <c r="I1068" s="3">
        <v>6.5</v>
      </c>
      <c r="J1068" s="3">
        <v>0.25</v>
      </c>
      <c r="K1068" s="4">
        <v>1</v>
      </c>
      <c r="L1068" s="68">
        <v>147</v>
      </c>
      <c r="N1068" s="6">
        <v>6</v>
      </c>
      <c r="Q1068" s="84">
        <v>1</v>
      </c>
      <c r="W1068" s="10">
        <f>60/75</f>
        <v>0.8</v>
      </c>
      <c r="X1068" s="11">
        <v>175</v>
      </c>
      <c r="AI1068" s="81" t="s">
        <v>370</v>
      </c>
      <c r="AJ1068" s="81" t="s">
        <v>83</v>
      </c>
      <c r="AK1068" s="81">
        <v>1995</v>
      </c>
      <c r="AL1068" s="81" t="s">
        <v>84</v>
      </c>
      <c r="AM1068" s="15" t="s">
        <v>384</v>
      </c>
    </row>
    <row r="1069" spans="1:39" x14ac:dyDescent="0.3">
      <c r="A1069" s="67">
        <v>74</v>
      </c>
      <c r="D1069" s="2">
        <v>0</v>
      </c>
      <c r="F1069" s="2">
        <v>3</v>
      </c>
      <c r="G1069" s="3">
        <v>6.3</v>
      </c>
      <c r="H1069" s="2">
        <v>0</v>
      </c>
      <c r="I1069" s="3">
        <v>6.5</v>
      </c>
      <c r="J1069" s="3">
        <v>0.25</v>
      </c>
      <c r="K1069" s="4">
        <v>1</v>
      </c>
      <c r="L1069" s="68">
        <v>98</v>
      </c>
      <c r="N1069" s="6">
        <v>6.3</v>
      </c>
      <c r="Q1069" s="84">
        <v>1</v>
      </c>
      <c r="W1069" s="10">
        <f>68/74</f>
        <v>0.91891891891891897</v>
      </c>
      <c r="X1069" s="11">
        <v>126</v>
      </c>
      <c r="AI1069" s="81" t="s">
        <v>364</v>
      </c>
      <c r="AJ1069" s="81" t="s">
        <v>83</v>
      </c>
      <c r="AK1069" s="81">
        <v>1995</v>
      </c>
      <c r="AL1069" s="81" t="s">
        <v>362</v>
      </c>
      <c r="AM1069" s="15" t="s">
        <v>384</v>
      </c>
    </row>
    <row r="1070" spans="1:39" x14ac:dyDescent="0.3">
      <c r="A1070" s="67">
        <v>62</v>
      </c>
      <c r="D1070" s="2">
        <v>0</v>
      </c>
      <c r="F1070" s="2">
        <v>3</v>
      </c>
      <c r="G1070" s="3">
        <v>6.3</v>
      </c>
      <c r="H1070" s="2">
        <v>0</v>
      </c>
      <c r="I1070" s="3">
        <v>6.5</v>
      </c>
      <c r="J1070" s="3">
        <v>0.25</v>
      </c>
      <c r="K1070" s="4">
        <v>1</v>
      </c>
      <c r="L1070" s="68">
        <v>147</v>
      </c>
      <c r="N1070" s="6">
        <v>6.3</v>
      </c>
      <c r="Q1070" s="84">
        <v>1</v>
      </c>
      <c r="W1070" s="10">
        <f>59/62</f>
        <v>0.95161290322580649</v>
      </c>
      <c r="X1070" s="11">
        <v>175</v>
      </c>
      <c r="AI1070" s="81" t="s">
        <v>364</v>
      </c>
      <c r="AJ1070" s="81" t="s">
        <v>83</v>
      </c>
      <c r="AK1070" s="81">
        <v>1995</v>
      </c>
      <c r="AL1070" s="81" t="s">
        <v>84</v>
      </c>
      <c r="AM1070" s="15" t="s">
        <v>384</v>
      </c>
    </row>
    <row r="1071" spans="1:39" x14ac:dyDescent="0.3">
      <c r="A1071" s="1">
        <v>184</v>
      </c>
      <c r="D1071" s="2">
        <v>0</v>
      </c>
      <c r="F1071" s="2">
        <v>0</v>
      </c>
      <c r="G1071" s="3">
        <v>4.7</v>
      </c>
      <c r="H1071" s="2">
        <v>0</v>
      </c>
      <c r="I1071" s="3">
        <v>5.6</v>
      </c>
      <c r="J1071" s="3">
        <v>8.1</v>
      </c>
      <c r="K1071" s="4">
        <v>2</v>
      </c>
      <c r="L1071" s="2">
        <v>0</v>
      </c>
      <c r="N1071" s="6">
        <v>4.7</v>
      </c>
      <c r="O1071" s="17">
        <v>0</v>
      </c>
      <c r="Q1071" s="84">
        <v>1</v>
      </c>
      <c r="R1071" s="73">
        <v>5.6</v>
      </c>
      <c r="S1071" s="8">
        <v>8.1</v>
      </c>
      <c r="W1071" s="10">
        <v>0.52</v>
      </c>
      <c r="X1071" s="11">
        <v>42</v>
      </c>
      <c r="AI1071" s="81" t="s">
        <v>377</v>
      </c>
      <c r="AJ1071" s="81" t="s">
        <v>83</v>
      </c>
      <c r="AK1071" s="15">
        <v>1995</v>
      </c>
      <c r="AL1071" s="81" t="s">
        <v>362</v>
      </c>
    </row>
    <row r="1072" spans="1:39" x14ac:dyDescent="0.3">
      <c r="A1072" s="1">
        <v>184</v>
      </c>
      <c r="D1072" s="2">
        <v>0</v>
      </c>
      <c r="F1072" s="2">
        <v>1</v>
      </c>
      <c r="G1072" s="3">
        <v>4.7</v>
      </c>
      <c r="H1072" s="2">
        <v>0</v>
      </c>
      <c r="I1072" s="3">
        <v>5.6</v>
      </c>
      <c r="J1072" s="3">
        <v>8.1</v>
      </c>
      <c r="K1072" s="4">
        <v>2</v>
      </c>
      <c r="L1072" s="68">
        <v>42</v>
      </c>
      <c r="N1072" s="6">
        <v>4.7</v>
      </c>
      <c r="O1072" s="84">
        <v>42</v>
      </c>
      <c r="P1072" s="7">
        <v>0.52</v>
      </c>
      <c r="Q1072" s="84">
        <v>1</v>
      </c>
      <c r="R1072" s="73"/>
      <c r="W1072" s="10">
        <v>0.77</v>
      </c>
      <c r="X1072" s="77">
        <v>70</v>
      </c>
      <c r="AI1072" s="81" t="s">
        <v>377</v>
      </c>
      <c r="AJ1072" s="81" t="s">
        <v>83</v>
      </c>
      <c r="AK1072" s="81">
        <v>1995</v>
      </c>
      <c r="AL1072" s="81" t="s">
        <v>362</v>
      </c>
    </row>
    <row r="1073" spans="1:39" x14ac:dyDescent="0.3">
      <c r="A1073" s="1">
        <v>169</v>
      </c>
      <c r="D1073" s="2">
        <v>0</v>
      </c>
      <c r="F1073" s="2">
        <v>1</v>
      </c>
      <c r="G1073" s="3">
        <v>4.7</v>
      </c>
      <c r="H1073" s="2">
        <v>0</v>
      </c>
      <c r="I1073" s="3">
        <v>6.3</v>
      </c>
      <c r="J1073" s="3">
        <v>7.1</v>
      </c>
      <c r="K1073" s="4">
        <v>2</v>
      </c>
      <c r="L1073" s="68">
        <v>56</v>
      </c>
      <c r="N1073" s="6">
        <v>4.7</v>
      </c>
      <c r="O1073" s="84">
        <v>56</v>
      </c>
      <c r="Q1073" s="84">
        <v>1</v>
      </c>
      <c r="R1073" s="73"/>
      <c r="W1073" s="10">
        <v>0.78</v>
      </c>
      <c r="X1073" s="77">
        <v>112</v>
      </c>
      <c r="AI1073" s="81" t="s">
        <v>377</v>
      </c>
      <c r="AJ1073" s="81" t="s">
        <v>83</v>
      </c>
      <c r="AK1073" s="81">
        <v>1995</v>
      </c>
      <c r="AL1073" s="81" t="s">
        <v>84</v>
      </c>
    </row>
    <row r="1074" spans="1:39" x14ac:dyDescent="0.3">
      <c r="A1074" s="1">
        <v>184</v>
      </c>
      <c r="D1074" s="2">
        <v>0</v>
      </c>
      <c r="F1074" s="2">
        <v>2</v>
      </c>
      <c r="G1074" s="69">
        <v>4.7</v>
      </c>
      <c r="H1074" s="2">
        <v>0</v>
      </c>
      <c r="I1074" s="3">
        <v>5.6</v>
      </c>
      <c r="J1074" s="3">
        <v>8.1</v>
      </c>
      <c r="K1074" s="4">
        <v>2</v>
      </c>
      <c r="L1074" s="68">
        <v>70</v>
      </c>
      <c r="N1074" s="6">
        <v>4.7</v>
      </c>
      <c r="O1074" s="84">
        <v>70</v>
      </c>
      <c r="P1074" s="7">
        <v>0.77</v>
      </c>
      <c r="Q1074" s="84">
        <v>1</v>
      </c>
      <c r="R1074" s="73"/>
      <c r="W1074" s="10">
        <v>0.88</v>
      </c>
      <c r="X1074" s="77">
        <v>98</v>
      </c>
      <c r="AI1074" s="81" t="s">
        <v>377</v>
      </c>
      <c r="AJ1074" s="81" t="s">
        <v>83</v>
      </c>
      <c r="AK1074" s="81">
        <v>1995</v>
      </c>
      <c r="AL1074" s="81" t="s">
        <v>362</v>
      </c>
    </row>
    <row r="1075" spans="1:39" x14ac:dyDescent="0.3">
      <c r="A1075" s="1">
        <v>184</v>
      </c>
      <c r="D1075" s="2">
        <v>0</v>
      </c>
      <c r="F1075" s="2">
        <v>3</v>
      </c>
      <c r="G1075" s="69">
        <v>4.7</v>
      </c>
      <c r="H1075" s="2">
        <v>0</v>
      </c>
      <c r="I1075" s="3">
        <v>5.6</v>
      </c>
      <c r="J1075" s="3">
        <v>8.1</v>
      </c>
      <c r="K1075" s="70">
        <v>2</v>
      </c>
      <c r="L1075" s="68">
        <v>98</v>
      </c>
      <c r="N1075" s="6">
        <v>4.7</v>
      </c>
      <c r="O1075" s="84">
        <v>98</v>
      </c>
      <c r="P1075" s="7">
        <v>0.88</v>
      </c>
      <c r="Q1075" s="84">
        <v>1</v>
      </c>
      <c r="R1075" s="73"/>
      <c r="T1075" s="9">
        <v>9.5</v>
      </c>
      <c r="U1075" s="9">
        <v>0.8</v>
      </c>
      <c r="W1075" s="10">
        <v>0.93</v>
      </c>
      <c r="X1075" s="77">
        <v>126</v>
      </c>
      <c r="AI1075" s="81" t="s">
        <v>377</v>
      </c>
      <c r="AJ1075" s="81" t="s">
        <v>83</v>
      </c>
      <c r="AK1075" s="81">
        <v>1995</v>
      </c>
      <c r="AL1075" s="81" t="s">
        <v>362</v>
      </c>
    </row>
    <row r="1076" spans="1:39" x14ac:dyDescent="0.3">
      <c r="A1076" s="1">
        <v>169</v>
      </c>
      <c r="D1076" s="2">
        <v>0</v>
      </c>
      <c r="F1076" s="2">
        <v>3</v>
      </c>
      <c r="G1076" s="69">
        <v>4.7</v>
      </c>
      <c r="H1076" s="2">
        <v>0</v>
      </c>
      <c r="I1076" s="3">
        <v>6.3</v>
      </c>
      <c r="J1076" s="3">
        <v>7.1</v>
      </c>
      <c r="K1076" s="70">
        <v>2</v>
      </c>
      <c r="L1076" s="68">
        <v>147</v>
      </c>
      <c r="N1076" s="6">
        <v>4.7</v>
      </c>
      <c r="O1076" s="84">
        <v>147</v>
      </c>
      <c r="Q1076" s="84">
        <v>1</v>
      </c>
      <c r="R1076" s="73"/>
      <c r="T1076" s="9">
        <v>9.5</v>
      </c>
      <c r="U1076" s="9">
        <v>0.6</v>
      </c>
      <c r="W1076" s="10">
        <v>0.97</v>
      </c>
      <c r="X1076" s="77">
        <v>175</v>
      </c>
      <c r="AI1076" s="81" t="s">
        <v>377</v>
      </c>
      <c r="AJ1076" s="81" t="s">
        <v>83</v>
      </c>
      <c r="AK1076" s="81">
        <v>1995</v>
      </c>
      <c r="AL1076" s="81" t="s">
        <v>84</v>
      </c>
    </row>
    <row r="1077" spans="1:39" x14ac:dyDescent="0.3">
      <c r="A1077" s="1">
        <v>176</v>
      </c>
      <c r="D1077" s="2">
        <v>0</v>
      </c>
      <c r="F1077" s="2">
        <v>0</v>
      </c>
      <c r="G1077" s="3">
        <v>5</v>
      </c>
      <c r="H1077" s="2">
        <v>0</v>
      </c>
      <c r="I1077" s="3">
        <v>5.6</v>
      </c>
      <c r="J1077" s="3">
        <v>8.1</v>
      </c>
      <c r="K1077" s="70">
        <v>2</v>
      </c>
      <c r="L1077" s="68">
        <v>0</v>
      </c>
      <c r="N1077" s="6">
        <v>5</v>
      </c>
      <c r="O1077" s="84">
        <v>0</v>
      </c>
      <c r="Q1077" s="84">
        <v>1</v>
      </c>
      <c r="R1077" s="73">
        <v>5.6</v>
      </c>
      <c r="S1077" s="8">
        <v>8.1</v>
      </c>
      <c r="W1077" s="10">
        <v>0.6</v>
      </c>
      <c r="X1077" s="77">
        <v>42</v>
      </c>
      <c r="AI1077" s="81" t="s">
        <v>379</v>
      </c>
      <c r="AJ1077" s="81" t="s">
        <v>83</v>
      </c>
      <c r="AK1077" s="81">
        <v>1995</v>
      </c>
      <c r="AL1077" s="81" t="s">
        <v>362</v>
      </c>
    </row>
    <row r="1078" spans="1:39" x14ac:dyDescent="0.3">
      <c r="A1078" s="1">
        <v>176</v>
      </c>
      <c r="D1078" s="68">
        <v>0</v>
      </c>
      <c r="F1078" s="2">
        <v>1</v>
      </c>
      <c r="G1078" s="3">
        <v>5</v>
      </c>
      <c r="H1078" s="2">
        <v>0</v>
      </c>
      <c r="I1078" s="3">
        <v>5.6</v>
      </c>
      <c r="J1078" s="3">
        <v>8.1</v>
      </c>
      <c r="K1078" s="70">
        <v>2</v>
      </c>
      <c r="L1078" s="2">
        <v>42</v>
      </c>
      <c r="N1078" s="6">
        <v>5</v>
      </c>
      <c r="O1078" s="17">
        <v>42</v>
      </c>
      <c r="P1078" s="7">
        <v>0.6</v>
      </c>
      <c r="Q1078" s="84">
        <v>1</v>
      </c>
      <c r="R1078" s="73"/>
      <c r="W1078" s="10">
        <v>0.78</v>
      </c>
      <c r="X1078" s="11">
        <v>70</v>
      </c>
      <c r="AI1078" s="81" t="s">
        <v>379</v>
      </c>
      <c r="AJ1078" s="81" t="s">
        <v>83</v>
      </c>
      <c r="AK1078" s="15">
        <v>1995</v>
      </c>
      <c r="AL1078" s="81" t="s">
        <v>362</v>
      </c>
    </row>
    <row r="1079" spans="1:39" s="82" customFormat="1" x14ac:dyDescent="0.3">
      <c r="A1079" s="67">
        <v>159</v>
      </c>
      <c r="B1079" s="68"/>
      <c r="C1079" s="68"/>
      <c r="D1079" s="68">
        <v>0</v>
      </c>
      <c r="E1079" s="68"/>
      <c r="F1079" s="68">
        <v>1</v>
      </c>
      <c r="G1079" s="69">
        <v>5</v>
      </c>
      <c r="H1079" s="68">
        <v>0</v>
      </c>
      <c r="I1079" s="69">
        <v>6.3</v>
      </c>
      <c r="J1079" s="69">
        <v>7.1</v>
      </c>
      <c r="K1079" s="70">
        <v>2</v>
      </c>
      <c r="L1079" s="68">
        <v>56</v>
      </c>
      <c r="M1079" s="71"/>
      <c r="N1079" s="72">
        <v>5</v>
      </c>
      <c r="O1079" s="84">
        <v>56</v>
      </c>
      <c r="P1079" s="73"/>
      <c r="Q1079" s="84">
        <v>1</v>
      </c>
      <c r="R1079" s="73"/>
      <c r="S1079" s="74"/>
      <c r="T1079" s="75"/>
      <c r="U1079" s="75"/>
      <c r="V1079" s="76"/>
      <c r="W1079" s="76">
        <v>0.77</v>
      </c>
      <c r="X1079" s="77">
        <v>112</v>
      </c>
      <c r="Y1079" s="78"/>
      <c r="Z1079" s="79"/>
      <c r="AA1079" s="69"/>
      <c r="AB1079" s="68"/>
      <c r="AC1079" s="68"/>
      <c r="AD1079" s="68"/>
      <c r="AE1079" s="80"/>
      <c r="AF1079" s="80"/>
      <c r="AG1079" s="80"/>
      <c r="AH1079" s="80"/>
      <c r="AI1079" s="81" t="s">
        <v>379</v>
      </c>
      <c r="AJ1079" s="81" t="s">
        <v>83</v>
      </c>
      <c r="AK1079" s="81">
        <v>1995</v>
      </c>
      <c r="AL1079" s="81" t="s">
        <v>84</v>
      </c>
      <c r="AM1079" s="81"/>
    </row>
    <row r="1080" spans="1:39" s="82" customFormat="1" x14ac:dyDescent="0.3">
      <c r="A1080" s="67">
        <v>176</v>
      </c>
      <c r="B1080" s="68"/>
      <c r="C1080" s="68"/>
      <c r="D1080" s="68">
        <v>0</v>
      </c>
      <c r="E1080" s="68"/>
      <c r="F1080" s="68">
        <v>2</v>
      </c>
      <c r="G1080" s="69">
        <v>5</v>
      </c>
      <c r="H1080" s="68">
        <v>0</v>
      </c>
      <c r="I1080" s="69">
        <v>5.6</v>
      </c>
      <c r="J1080" s="69">
        <v>8.1</v>
      </c>
      <c r="K1080" s="70">
        <v>2</v>
      </c>
      <c r="L1080" s="68">
        <v>70</v>
      </c>
      <c r="M1080" s="71"/>
      <c r="N1080" s="72">
        <v>5</v>
      </c>
      <c r="O1080" s="84">
        <v>70</v>
      </c>
      <c r="P1080" s="73">
        <v>0.78</v>
      </c>
      <c r="Q1080" s="84">
        <v>1</v>
      </c>
      <c r="R1080" s="73"/>
      <c r="S1080" s="74"/>
      <c r="T1080" s="75"/>
      <c r="U1080" s="75"/>
      <c r="V1080" s="76"/>
      <c r="W1080" s="76">
        <v>0.87</v>
      </c>
      <c r="X1080" s="77">
        <v>98</v>
      </c>
      <c r="Y1080" s="78"/>
      <c r="Z1080" s="79"/>
      <c r="AA1080" s="69"/>
      <c r="AB1080" s="68"/>
      <c r="AC1080" s="68"/>
      <c r="AD1080" s="68"/>
      <c r="AE1080" s="80"/>
      <c r="AF1080" s="80"/>
      <c r="AG1080" s="80"/>
      <c r="AH1080" s="80"/>
      <c r="AI1080" s="81" t="s">
        <v>379</v>
      </c>
      <c r="AJ1080" s="81" t="s">
        <v>83</v>
      </c>
      <c r="AK1080" s="81">
        <v>1995</v>
      </c>
      <c r="AL1080" s="81" t="s">
        <v>362</v>
      </c>
      <c r="AM1080" s="81"/>
    </row>
    <row r="1081" spans="1:39" s="82" customFormat="1" x14ac:dyDescent="0.3">
      <c r="A1081" s="67">
        <v>176</v>
      </c>
      <c r="B1081" s="68"/>
      <c r="C1081" s="68"/>
      <c r="D1081" s="68">
        <v>0</v>
      </c>
      <c r="E1081" s="68"/>
      <c r="F1081" s="68">
        <v>3</v>
      </c>
      <c r="G1081" s="69">
        <v>5</v>
      </c>
      <c r="H1081" s="68">
        <v>0</v>
      </c>
      <c r="I1081" s="69">
        <v>5.6</v>
      </c>
      <c r="J1081" s="69">
        <v>8.1</v>
      </c>
      <c r="K1081" s="70">
        <v>2</v>
      </c>
      <c r="L1081" s="68">
        <v>98</v>
      </c>
      <c r="M1081" s="71"/>
      <c r="N1081" s="72">
        <v>5</v>
      </c>
      <c r="O1081" s="84">
        <v>98</v>
      </c>
      <c r="P1081" s="73">
        <v>0.87</v>
      </c>
      <c r="Q1081" s="84">
        <v>1</v>
      </c>
      <c r="R1081" s="73"/>
      <c r="S1081" s="74"/>
      <c r="T1081" s="75">
        <v>9.6</v>
      </c>
      <c r="U1081" s="75">
        <v>0.5</v>
      </c>
      <c r="V1081" s="76"/>
      <c r="W1081" s="76">
        <v>0.91</v>
      </c>
      <c r="X1081" s="77">
        <v>126</v>
      </c>
      <c r="Y1081" s="78"/>
      <c r="Z1081" s="79"/>
      <c r="AA1081" s="69"/>
      <c r="AB1081" s="68"/>
      <c r="AC1081" s="68"/>
      <c r="AD1081" s="68"/>
      <c r="AE1081" s="80"/>
      <c r="AF1081" s="80"/>
      <c r="AG1081" s="80"/>
      <c r="AH1081" s="80"/>
      <c r="AI1081" s="81" t="s">
        <v>379</v>
      </c>
      <c r="AJ1081" s="81" t="s">
        <v>83</v>
      </c>
      <c r="AK1081" s="81">
        <v>1995</v>
      </c>
      <c r="AL1081" s="81" t="s">
        <v>362</v>
      </c>
      <c r="AM1081" s="81"/>
    </row>
    <row r="1082" spans="1:39" s="82" customFormat="1" x14ac:dyDescent="0.3">
      <c r="A1082" s="67">
        <v>159</v>
      </c>
      <c r="B1082" s="68"/>
      <c r="C1082" s="68"/>
      <c r="D1082" s="68">
        <v>0</v>
      </c>
      <c r="E1082" s="68"/>
      <c r="F1082" s="68">
        <v>3</v>
      </c>
      <c r="G1082" s="69">
        <v>5</v>
      </c>
      <c r="H1082" s="68">
        <v>0</v>
      </c>
      <c r="I1082" s="69">
        <v>6.3</v>
      </c>
      <c r="J1082" s="69">
        <v>7.1</v>
      </c>
      <c r="K1082" s="70">
        <v>2</v>
      </c>
      <c r="L1082" s="68">
        <v>147</v>
      </c>
      <c r="M1082" s="71"/>
      <c r="N1082" s="72">
        <v>5</v>
      </c>
      <c r="O1082" s="84">
        <v>147</v>
      </c>
      <c r="P1082" s="73"/>
      <c r="Q1082" s="84">
        <v>1</v>
      </c>
      <c r="R1082" s="73"/>
      <c r="S1082" s="74"/>
      <c r="T1082" s="75">
        <v>9.6</v>
      </c>
      <c r="U1082" s="75">
        <v>0.6</v>
      </c>
      <c r="V1082" s="76"/>
      <c r="W1082" s="76">
        <v>0.95</v>
      </c>
      <c r="X1082" s="77">
        <v>175</v>
      </c>
      <c r="Y1082" s="78"/>
      <c r="Z1082" s="79"/>
      <c r="AA1082" s="69"/>
      <c r="AB1082" s="68"/>
      <c r="AC1082" s="68"/>
      <c r="AD1082" s="68"/>
      <c r="AE1082" s="80"/>
      <c r="AF1082" s="80"/>
      <c r="AG1082" s="80"/>
      <c r="AH1082" s="80"/>
      <c r="AI1082" s="81" t="s">
        <v>379</v>
      </c>
      <c r="AJ1082" s="81" t="s">
        <v>83</v>
      </c>
      <c r="AK1082" s="81">
        <v>1995</v>
      </c>
      <c r="AL1082" s="81" t="s">
        <v>84</v>
      </c>
      <c r="AM1082" s="81"/>
    </row>
    <row r="1083" spans="1:39" s="82" customFormat="1" x14ac:dyDescent="0.3">
      <c r="A1083" s="67">
        <v>175</v>
      </c>
      <c r="B1083" s="68"/>
      <c r="C1083" s="68"/>
      <c r="D1083" s="68">
        <v>0</v>
      </c>
      <c r="E1083" s="68"/>
      <c r="F1083" s="68">
        <v>0</v>
      </c>
      <c r="G1083" s="69">
        <v>5</v>
      </c>
      <c r="H1083" s="68">
        <v>0</v>
      </c>
      <c r="I1083" s="69">
        <v>5.6</v>
      </c>
      <c r="J1083" s="69">
        <v>8.1</v>
      </c>
      <c r="K1083" s="70">
        <v>2</v>
      </c>
      <c r="L1083" s="68">
        <v>0</v>
      </c>
      <c r="M1083" s="71"/>
      <c r="N1083" s="72">
        <v>5</v>
      </c>
      <c r="O1083" s="84">
        <v>0</v>
      </c>
      <c r="P1083" s="73"/>
      <c r="Q1083" s="84">
        <v>1</v>
      </c>
      <c r="R1083" s="73">
        <v>5.6</v>
      </c>
      <c r="S1083" s="74">
        <v>8.1</v>
      </c>
      <c r="T1083" s="75"/>
      <c r="U1083" s="75"/>
      <c r="V1083" s="76"/>
      <c r="W1083" s="76">
        <v>0.59</v>
      </c>
      <c r="X1083" s="77">
        <v>42</v>
      </c>
      <c r="Y1083" s="78"/>
      <c r="Z1083" s="79"/>
      <c r="AA1083" s="69"/>
      <c r="AB1083" s="68"/>
      <c r="AC1083" s="68"/>
      <c r="AD1083" s="68"/>
      <c r="AE1083" s="80"/>
      <c r="AF1083" s="80"/>
      <c r="AG1083" s="80"/>
      <c r="AH1083" s="80"/>
      <c r="AI1083" s="81" t="s">
        <v>378</v>
      </c>
      <c r="AJ1083" s="81" t="s">
        <v>83</v>
      </c>
      <c r="AK1083" s="81">
        <v>1995</v>
      </c>
      <c r="AL1083" s="81" t="s">
        <v>362</v>
      </c>
      <c r="AM1083" s="81"/>
    </row>
    <row r="1084" spans="1:39" s="82" customFormat="1" x14ac:dyDescent="0.3">
      <c r="A1084" s="67">
        <v>175</v>
      </c>
      <c r="B1084" s="68"/>
      <c r="C1084" s="68"/>
      <c r="D1084" s="68">
        <v>0</v>
      </c>
      <c r="E1084" s="68"/>
      <c r="F1084" s="68">
        <v>1</v>
      </c>
      <c r="G1084" s="69">
        <v>5</v>
      </c>
      <c r="H1084" s="68">
        <v>0</v>
      </c>
      <c r="I1084" s="69">
        <v>5.6</v>
      </c>
      <c r="J1084" s="69">
        <v>8.1</v>
      </c>
      <c r="K1084" s="70">
        <v>2</v>
      </c>
      <c r="L1084" s="68">
        <v>42</v>
      </c>
      <c r="M1084" s="71"/>
      <c r="N1084" s="72">
        <v>5</v>
      </c>
      <c r="O1084" s="84">
        <v>42</v>
      </c>
      <c r="P1084" s="73">
        <v>0.59</v>
      </c>
      <c r="Q1084" s="84">
        <v>1</v>
      </c>
      <c r="R1084" s="73"/>
      <c r="S1084" s="74"/>
      <c r="T1084" s="75"/>
      <c r="U1084" s="75"/>
      <c r="V1084" s="76"/>
      <c r="W1084" s="76">
        <v>0.81</v>
      </c>
      <c r="X1084" s="77">
        <v>70</v>
      </c>
      <c r="Y1084" s="78"/>
      <c r="Z1084" s="79"/>
      <c r="AA1084" s="69"/>
      <c r="AB1084" s="68"/>
      <c r="AC1084" s="68"/>
      <c r="AD1084" s="68"/>
      <c r="AE1084" s="80"/>
      <c r="AF1084" s="80"/>
      <c r="AG1084" s="80"/>
      <c r="AH1084" s="80"/>
      <c r="AI1084" s="81" t="s">
        <v>378</v>
      </c>
      <c r="AJ1084" s="81" t="s">
        <v>83</v>
      </c>
      <c r="AK1084" s="81">
        <v>1995</v>
      </c>
      <c r="AL1084" s="81" t="s">
        <v>362</v>
      </c>
      <c r="AM1084" s="81"/>
    </row>
    <row r="1085" spans="1:39" s="82" customFormat="1" x14ac:dyDescent="0.3">
      <c r="A1085" s="67">
        <v>190</v>
      </c>
      <c r="B1085" s="68"/>
      <c r="C1085" s="68"/>
      <c r="D1085" s="68">
        <v>0</v>
      </c>
      <c r="E1085" s="68"/>
      <c r="F1085" s="68">
        <v>1</v>
      </c>
      <c r="G1085" s="69">
        <v>5</v>
      </c>
      <c r="H1085" s="68">
        <v>0</v>
      </c>
      <c r="I1085" s="69">
        <v>6.3</v>
      </c>
      <c r="J1085" s="69">
        <v>7.1</v>
      </c>
      <c r="K1085" s="70">
        <v>2</v>
      </c>
      <c r="L1085" s="68">
        <v>56</v>
      </c>
      <c r="M1085" s="71"/>
      <c r="N1085" s="72">
        <v>5</v>
      </c>
      <c r="O1085" s="84">
        <v>56</v>
      </c>
      <c r="P1085" s="73"/>
      <c r="Q1085" s="84">
        <v>1</v>
      </c>
      <c r="R1085" s="73"/>
      <c r="S1085" s="74"/>
      <c r="T1085" s="75"/>
      <c r="U1085" s="75"/>
      <c r="V1085" s="76"/>
      <c r="W1085" s="76">
        <v>0.74</v>
      </c>
      <c r="X1085" s="77">
        <v>112</v>
      </c>
      <c r="Y1085" s="78"/>
      <c r="Z1085" s="79"/>
      <c r="AA1085" s="69"/>
      <c r="AB1085" s="68"/>
      <c r="AC1085" s="68"/>
      <c r="AD1085" s="68"/>
      <c r="AE1085" s="80"/>
      <c r="AF1085" s="80"/>
      <c r="AG1085" s="80"/>
      <c r="AH1085" s="80"/>
      <c r="AI1085" s="81" t="s">
        <v>378</v>
      </c>
      <c r="AJ1085" s="81" t="s">
        <v>83</v>
      </c>
      <c r="AK1085" s="81">
        <v>1995</v>
      </c>
      <c r="AL1085" s="81" t="s">
        <v>84</v>
      </c>
      <c r="AM1085" s="81"/>
    </row>
    <row r="1086" spans="1:39" s="82" customFormat="1" x14ac:dyDescent="0.3">
      <c r="A1086" s="67">
        <v>175</v>
      </c>
      <c r="B1086" s="68"/>
      <c r="C1086" s="68"/>
      <c r="D1086" s="68">
        <v>0</v>
      </c>
      <c r="E1086" s="68"/>
      <c r="F1086" s="68">
        <v>2</v>
      </c>
      <c r="G1086" s="69">
        <v>5</v>
      </c>
      <c r="H1086" s="68">
        <v>0</v>
      </c>
      <c r="I1086" s="69">
        <v>5.6</v>
      </c>
      <c r="J1086" s="69">
        <v>8.1</v>
      </c>
      <c r="K1086" s="70">
        <v>2</v>
      </c>
      <c r="L1086" s="68">
        <v>70</v>
      </c>
      <c r="M1086" s="71"/>
      <c r="N1086" s="72">
        <v>5</v>
      </c>
      <c r="O1086" s="84">
        <v>70</v>
      </c>
      <c r="P1086" s="73">
        <v>0.81</v>
      </c>
      <c r="Q1086" s="84">
        <v>1</v>
      </c>
      <c r="R1086" s="73"/>
      <c r="S1086" s="74"/>
      <c r="T1086" s="75"/>
      <c r="U1086" s="75"/>
      <c r="V1086" s="76"/>
      <c r="W1086" s="76">
        <v>0.88</v>
      </c>
      <c r="X1086" s="77">
        <v>98</v>
      </c>
      <c r="Y1086" s="78"/>
      <c r="Z1086" s="79"/>
      <c r="AA1086" s="69"/>
      <c r="AB1086" s="68"/>
      <c r="AC1086" s="68"/>
      <c r="AD1086" s="68"/>
      <c r="AE1086" s="80"/>
      <c r="AF1086" s="80"/>
      <c r="AG1086" s="80"/>
      <c r="AH1086" s="80"/>
      <c r="AI1086" s="81" t="s">
        <v>378</v>
      </c>
      <c r="AJ1086" s="81" t="s">
        <v>83</v>
      </c>
      <c r="AK1086" s="81">
        <v>1995</v>
      </c>
      <c r="AL1086" s="81" t="s">
        <v>362</v>
      </c>
      <c r="AM1086" s="81"/>
    </row>
    <row r="1087" spans="1:39" x14ac:dyDescent="0.3">
      <c r="A1087" s="67">
        <v>175</v>
      </c>
      <c r="D1087" s="2">
        <v>0</v>
      </c>
      <c r="F1087" s="2">
        <v>3</v>
      </c>
      <c r="G1087" s="3">
        <v>5</v>
      </c>
      <c r="H1087" s="2">
        <v>0</v>
      </c>
      <c r="I1087" s="3">
        <v>5.6</v>
      </c>
      <c r="J1087" s="3">
        <v>8.1</v>
      </c>
      <c r="K1087" s="4">
        <v>2</v>
      </c>
      <c r="L1087" s="2">
        <v>98</v>
      </c>
      <c r="N1087" s="6">
        <v>5</v>
      </c>
      <c r="O1087" s="17">
        <v>98</v>
      </c>
      <c r="P1087" s="7">
        <v>0.88</v>
      </c>
      <c r="Q1087" s="84">
        <v>1</v>
      </c>
      <c r="R1087" s="73"/>
      <c r="T1087" s="9">
        <v>9.3000000000000007</v>
      </c>
      <c r="U1087" s="9">
        <v>0.8</v>
      </c>
      <c r="W1087" s="10">
        <v>0.93</v>
      </c>
      <c r="X1087" s="11">
        <v>126</v>
      </c>
      <c r="AI1087" s="81" t="s">
        <v>378</v>
      </c>
      <c r="AJ1087" s="81" t="s">
        <v>83</v>
      </c>
      <c r="AK1087" s="15">
        <v>1995</v>
      </c>
      <c r="AL1087" s="81" t="s">
        <v>362</v>
      </c>
    </row>
    <row r="1088" spans="1:39" x14ac:dyDescent="0.3">
      <c r="A1088" s="67">
        <v>190</v>
      </c>
      <c r="D1088" s="2">
        <v>0</v>
      </c>
      <c r="F1088" s="2">
        <v>3</v>
      </c>
      <c r="G1088" s="3">
        <v>5</v>
      </c>
      <c r="H1088" s="2">
        <v>0</v>
      </c>
      <c r="I1088" s="3">
        <v>6.3</v>
      </c>
      <c r="J1088" s="3">
        <v>7.1</v>
      </c>
      <c r="K1088" s="4">
        <v>2</v>
      </c>
      <c r="L1088" s="68">
        <v>147</v>
      </c>
      <c r="N1088" s="6">
        <v>5</v>
      </c>
      <c r="O1088" s="17">
        <v>147</v>
      </c>
      <c r="Q1088" s="84">
        <v>1</v>
      </c>
      <c r="R1088" s="73"/>
      <c r="T1088" s="9">
        <v>9.6</v>
      </c>
      <c r="U1088" s="9">
        <v>0.6</v>
      </c>
      <c r="W1088" s="10">
        <v>0.94</v>
      </c>
      <c r="X1088" s="11">
        <v>175</v>
      </c>
      <c r="AI1088" s="81" t="s">
        <v>378</v>
      </c>
      <c r="AJ1088" s="81" t="s">
        <v>83</v>
      </c>
      <c r="AK1088" s="81">
        <v>1995</v>
      </c>
      <c r="AL1088" s="81" t="s">
        <v>84</v>
      </c>
    </row>
    <row r="1089" spans="1:39" x14ac:dyDescent="0.3">
      <c r="A1089" s="67">
        <v>195</v>
      </c>
      <c r="D1089" s="2">
        <v>0</v>
      </c>
      <c r="F1089" s="2">
        <v>0</v>
      </c>
      <c r="G1089" s="3">
        <v>5</v>
      </c>
      <c r="H1089" s="2">
        <v>0</v>
      </c>
      <c r="I1089" s="3">
        <v>5.6</v>
      </c>
      <c r="J1089" s="3">
        <v>8.1</v>
      </c>
      <c r="K1089" s="4">
        <v>2</v>
      </c>
      <c r="L1089" s="68">
        <v>0</v>
      </c>
      <c r="N1089" s="6">
        <v>5</v>
      </c>
      <c r="O1089" s="17">
        <v>0</v>
      </c>
      <c r="Q1089" s="84">
        <v>1</v>
      </c>
      <c r="R1089" s="73">
        <v>5.6</v>
      </c>
      <c r="S1089" s="8">
        <v>8.1</v>
      </c>
      <c r="W1089" s="10">
        <v>0.51</v>
      </c>
      <c r="X1089" s="11">
        <v>42</v>
      </c>
      <c r="AI1089" s="81" t="s">
        <v>376</v>
      </c>
      <c r="AJ1089" s="81" t="s">
        <v>83</v>
      </c>
      <c r="AK1089" s="81">
        <v>1995</v>
      </c>
      <c r="AL1089" s="81" t="s">
        <v>362</v>
      </c>
    </row>
    <row r="1090" spans="1:39" x14ac:dyDescent="0.3">
      <c r="A1090" s="67">
        <v>195</v>
      </c>
      <c r="D1090" s="2">
        <v>0</v>
      </c>
      <c r="F1090" s="2">
        <v>1</v>
      </c>
      <c r="G1090" s="3">
        <v>5</v>
      </c>
      <c r="H1090" s="2">
        <v>0</v>
      </c>
      <c r="I1090" s="3">
        <v>5.6</v>
      </c>
      <c r="J1090" s="3">
        <v>8.1</v>
      </c>
      <c r="K1090" s="4">
        <v>2</v>
      </c>
      <c r="L1090" s="68">
        <v>42</v>
      </c>
      <c r="N1090" s="6">
        <v>5</v>
      </c>
      <c r="O1090" s="17">
        <v>42</v>
      </c>
      <c r="P1090" s="7">
        <v>0.51</v>
      </c>
      <c r="Q1090" s="84">
        <v>1</v>
      </c>
      <c r="W1090" s="10">
        <v>0.78</v>
      </c>
      <c r="X1090" s="11">
        <v>70</v>
      </c>
      <c r="AI1090" s="81" t="s">
        <v>376</v>
      </c>
      <c r="AJ1090" s="81" t="s">
        <v>83</v>
      </c>
      <c r="AK1090" s="81">
        <v>1995</v>
      </c>
      <c r="AL1090" s="81" t="s">
        <v>362</v>
      </c>
    </row>
    <row r="1091" spans="1:39" x14ac:dyDescent="0.3">
      <c r="A1091" s="67">
        <v>161</v>
      </c>
      <c r="D1091" s="2">
        <v>0</v>
      </c>
      <c r="F1091" s="2">
        <v>1</v>
      </c>
      <c r="G1091" s="3">
        <v>5</v>
      </c>
      <c r="H1091" s="2">
        <v>0</v>
      </c>
      <c r="I1091" s="3">
        <v>6.3</v>
      </c>
      <c r="J1091" s="3">
        <v>7.1</v>
      </c>
      <c r="K1091" s="4">
        <v>2</v>
      </c>
      <c r="L1091" s="68">
        <v>56</v>
      </c>
      <c r="N1091" s="6">
        <v>5</v>
      </c>
      <c r="O1091" s="17">
        <v>56</v>
      </c>
      <c r="Q1091" s="84">
        <v>1</v>
      </c>
      <c r="W1091" s="10">
        <v>0.76</v>
      </c>
      <c r="X1091" s="11">
        <v>112</v>
      </c>
      <c r="AI1091" s="81" t="s">
        <v>376</v>
      </c>
      <c r="AJ1091" s="81" t="s">
        <v>83</v>
      </c>
      <c r="AK1091" s="81">
        <v>1995</v>
      </c>
      <c r="AL1091" s="81" t="s">
        <v>84</v>
      </c>
    </row>
    <row r="1092" spans="1:39" x14ac:dyDescent="0.3">
      <c r="A1092" s="1">
        <v>195</v>
      </c>
      <c r="D1092" s="2">
        <v>0</v>
      </c>
      <c r="F1092" s="2">
        <v>2</v>
      </c>
      <c r="G1092" s="3">
        <v>5</v>
      </c>
      <c r="H1092" s="2">
        <v>0</v>
      </c>
      <c r="I1092" s="3">
        <v>5.6</v>
      </c>
      <c r="J1092" s="3">
        <v>8.1</v>
      </c>
      <c r="K1092" s="4">
        <v>2</v>
      </c>
      <c r="L1092" s="68">
        <v>70</v>
      </c>
      <c r="N1092" s="6">
        <v>5</v>
      </c>
      <c r="O1092" s="17">
        <v>70</v>
      </c>
      <c r="P1092" s="7">
        <v>0.78</v>
      </c>
      <c r="Q1092" s="84">
        <v>1</v>
      </c>
      <c r="W1092" s="10">
        <v>0.87</v>
      </c>
      <c r="X1092" s="11">
        <v>98</v>
      </c>
      <c r="AI1092" s="81" t="s">
        <v>376</v>
      </c>
      <c r="AJ1092" s="81" t="s">
        <v>83</v>
      </c>
      <c r="AK1092" s="81">
        <v>1995</v>
      </c>
      <c r="AL1092" s="81" t="s">
        <v>362</v>
      </c>
    </row>
    <row r="1093" spans="1:39" x14ac:dyDescent="0.3">
      <c r="A1093" s="67">
        <v>195</v>
      </c>
      <c r="D1093" s="2">
        <v>0</v>
      </c>
      <c r="F1093" s="2">
        <v>3</v>
      </c>
      <c r="G1093" s="3">
        <v>5</v>
      </c>
      <c r="H1093" s="2">
        <v>0</v>
      </c>
      <c r="I1093" s="3">
        <v>5.6</v>
      </c>
      <c r="J1093" s="3">
        <v>8.1</v>
      </c>
      <c r="K1093" s="4">
        <v>2</v>
      </c>
      <c r="L1093" s="68">
        <v>98</v>
      </c>
      <c r="N1093" s="6">
        <v>5</v>
      </c>
      <c r="O1093" s="84">
        <v>98</v>
      </c>
      <c r="P1093" s="7">
        <v>0.87</v>
      </c>
      <c r="Q1093" s="84">
        <v>1</v>
      </c>
      <c r="T1093" s="9">
        <v>9.4</v>
      </c>
      <c r="U1093" s="9">
        <v>0.9</v>
      </c>
      <c r="W1093" s="10">
        <v>0.95</v>
      </c>
      <c r="X1093" s="77">
        <v>126</v>
      </c>
      <c r="AI1093" s="81" t="s">
        <v>376</v>
      </c>
      <c r="AJ1093" s="81" t="s">
        <v>83</v>
      </c>
      <c r="AK1093" s="81">
        <v>1995</v>
      </c>
      <c r="AL1093" s="81" t="s">
        <v>362</v>
      </c>
    </row>
    <row r="1094" spans="1:39" x14ac:dyDescent="0.3">
      <c r="A1094" s="1">
        <v>161</v>
      </c>
      <c r="D1094" s="2">
        <v>0</v>
      </c>
      <c r="F1094" s="2">
        <v>3</v>
      </c>
      <c r="G1094" s="3">
        <v>5</v>
      </c>
      <c r="H1094" s="2">
        <v>0</v>
      </c>
      <c r="I1094" s="3">
        <v>6.3</v>
      </c>
      <c r="J1094" s="3">
        <v>7.1</v>
      </c>
      <c r="K1094" s="4">
        <v>2</v>
      </c>
      <c r="L1094" s="68">
        <v>147</v>
      </c>
      <c r="N1094" s="6">
        <v>5</v>
      </c>
      <c r="O1094" s="84">
        <v>147</v>
      </c>
      <c r="Q1094" s="84">
        <v>1</v>
      </c>
      <c r="T1094" s="9">
        <v>9.6</v>
      </c>
      <c r="U1094" s="9">
        <v>0.5</v>
      </c>
      <c r="W1094" s="10">
        <v>0.96</v>
      </c>
      <c r="X1094" s="77">
        <v>175</v>
      </c>
      <c r="AI1094" s="81" t="s">
        <v>376</v>
      </c>
      <c r="AJ1094" s="81" t="s">
        <v>83</v>
      </c>
      <c r="AK1094" s="81">
        <v>1995</v>
      </c>
      <c r="AL1094" s="81" t="s">
        <v>84</v>
      </c>
    </row>
    <row r="1095" spans="1:39" x14ac:dyDescent="0.3">
      <c r="A1095" s="1">
        <v>0</v>
      </c>
      <c r="D1095" s="2">
        <v>0</v>
      </c>
      <c r="F1095" s="2">
        <v>3</v>
      </c>
      <c r="G1095" s="3">
        <v>4.7</v>
      </c>
      <c r="H1095" s="2">
        <v>0</v>
      </c>
      <c r="K1095" s="4">
        <v>2</v>
      </c>
      <c r="L1095" s="68">
        <v>98</v>
      </c>
      <c r="N1095" s="6">
        <v>4.7</v>
      </c>
      <c r="O1095" s="84"/>
      <c r="Q1095" s="84">
        <v>1</v>
      </c>
      <c r="W1095" s="10">
        <v>0.98</v>
      </c>
      <c r="X1095" s="77">
        <v>126</v>
      </c>
      <c r="AI1095" s="81" t="s">
        <v>366</v>
      </c>
      <c r="AJ1095" s="81" t="s">
        <v>83</v>
      </c>
      <c r="AK1095" s="81">
        <v>1995</v>
      </c>
      <c r="AL1095" s="81" t="s">
        <v>362</v>
      </c>
      <c r="AM1095" s="15" t="s">
        <v>375</v>
      </c>
    </row>
    <row r="1096" spans="1:39" x14ac:dyDescent="0.3">
      <c r="A1096" s="1">
        <v>0</v>
      </c>
      <c r="D1096" s="2">
        <v>0</v>
      </c>
      <c r="F1096" s="2">
        <v>3</v>
      </c>
      <c r="G1096" s="3">
        <v>4.7</v>
      </c>
      <c r="H1096" s="2">
        <v>0</v>
      </c>
      <c r="K1096" s="4">
        <v>2</v>
      </c>
      <c r="L1096" s="68">
        <v>147</v>
      </c>
      <c r="N1096" s="6">
        <v>4.7</v>
      </c>
      <c r="O1096" s="84"/>
      <c r="Q1096" s="84">
        <v>1</v>
      </c>
      <c r="W1096" s="10">
        <v>1</v>
      </c>
      <c r="X1096" s="77">
        <v>175</v>
      </c>
      <c r="AI1096" s="81" t="s">
        <v>366</v>
      </c>
      <c r="AJ1096" s="81" t="s">
        <v>83</v>
      </c>
      <c r="AK1096" s="81">
        <v>1995</v>
      </c>
      <c r="AL1096" s="81" t="s">
        <v>84</v>
      </c>
      <c r="AM1096" s="15" t="s">
        <v>375</v>
      </c>
    </row>
    <row r="1097" spans="1:39" x14ac:dyDescent="0.3">
      <c r="A1097" s="1">
        <v>0</v>
      </c>
      <c r="D1097" s="2">
        <v>0</v>
      </c>
      <c r="F1097" s="2">
        <v>3</v>
      </c>
      <c r="G1097" s="3">
        <v>5</v>
      </c>
      <c r="H1097" s="2">
        <v>0</v>
      </c>
      <c r="K1097" s="4">
        <v>2</v>
      </c>
      <c r="L1097" s="68">
        <v>98</v>
      </c>
      <c r="N1097" s="6">
        <v>5</v>
      </c>
      <c r="O1097" s="84"/>
      <c r="Q1097" s="84">
        <v>1</v>
      </c>
      <c r="R1097" s="74"/>
      <c r="W1097" s="10">
        <v>0.98</v>
      </c>
      <c r="X1097" s="77">
        <v>126</v>
      </c>
      <c r="AI1097" s="81" t="s">
        <v>372</v>
      </c>
      <c r="AJ1097" s="81" t="s">
        <v>83</v>
      </c>
      <c r="AK1097" s="81">
        <v>1995</v>
      </c>
      <c r="AL1097" s="81" t="s">
        <v>362</v>
      </c>
      <c r="AM1097" s="15" t="s">
        <v>375</v>
      </c>
    </row>
    <row r="1098" spans="1:39" x14ac:dyDescent="0.3">
      <c r="A1098" s="67">
        <v>0</v>
      </c>
      <c r="D1098" s="2">
        <v>0</v>
      </c>
      <c r="F1098" s="2">
        <v>3</v>
      </c>
      <c r="G1098" s="3">
        <v>5</v>
      </c>
      <c r="H1098" s="2">
        <v>0</v>
      </c>
      <c r="K1098" s="4">
        <v>2</v>
      </c>
      <c r="L1098" s="68">
        <v>147</v>
      </c>
      <c r="N1098" s="72">
        <v>5</v>
      </c>
      <c r="O1098" s="84"/>
      <c r="Q1098" s="84">
        <v>1</v>
      </c>
      <c r="W1098" s="10">
        <v>1</v>
      </c>
      <c r="X1098" s="77">
        <v>175</v>
      </c>
      <c r="AI1098" s="81" t="s">
        <v>372</v>
      </c>
      <c r="AJ1098" s="81" t="s">
        <v>83</v>
      </c>
      <c r="AK1098" s="81">
        <v>1995</v>
      </c>
      <c r="AL1098" s="81" t="s">
        <v>84</v>
      </c>
      <c r="AM1098" s="15" t="s">
        <v>375</v>
      </c>
    </row>
    <row r="1099" spans="1:39" x14ac:dyDescent="0.3">
      <c r="A1099" s="1">
        <v>0</v>
      </c>
      <c r="D1099" s="2">
        <v>0</v>
      </c>
      <c r="F1099" s="2">
        <v>3</v>
      </c>
      <c r="G1099" s="3">
        <v>5</v>
      </c>
      <c r="H1099" s="2">
        <v>0</v>
      </c>
      <c r="K1099" s="70">
        <v>2</v>
      </c>
      <c r="L1099" s="68">
        <v>98</v>
      </c>
      <c r="N1099" s="72">
        <v>5</v>
      </c>
      <c r="O1099" s="84"/>
      <c r="Q1099" s="84">
        <v>1</v>
      </c>
      <c r="W1099" s="10">
        <v>0.98</v>
      </c>
      <c r="X1099" s="77">
        <v>126</v>
      </c>
      <c r="AI1099" s="81" t="s">
        <v>369</v>
      </c>
      <c r="AJ1099" s="81" t="s">
        <v>83</v>
      </c>
      <c r="AK1099" s="81">
        <v>1995</v>
      </c>
      <c r="AL1099" s="81" t="s">
        <v>362</v>
      </c>
      <c r="AM1099" s="15" t="s">
        <v>375</v>
      </c>
    </row>
    <row r="1100" spans="1:39" x14ac:dyDescent="0.3">
      <c r="A1100" s="1">
        <v>0</v>
      </c>
      <c r="D1100" s="2">
        <v>0</v>
      </c>
      <c r="F1100" s="2">
        <v>3</v>
      </c>
      <c r="G1100" s="3">
        <v>5</v>
      </c>
      <c r="H1100" s="2">
        <v>0</v>
      </c>
      <c r="K1100" s="70">
        <v>2</v>
      </c>
      <c r="L1100" s="68">
        <v>147</v>
      </c>
      <c r="N1100" s="72">
        <v>5</v>
      </c>
      <c r="O1100" s="84"/>
      <c r="Q1100" s="84">
        <v>1</v>
      </c>
      <c r="W1100" s="10">
        <v>1</v>
      </c>
      <c r="X1100" s="77">
        <v>175</v>
      </c>
      <c r="AI1100" s="81" t="s">
        <v>369</v>
      </c>
      <c r="AJ1100" s="81" t="s">
        <v>83</v>
      </c>
      <c r="AK1100" s="81">
        <v>1995</v>
      </c>
      <c r="AL1100" s="81" t="s">
        <v>84</v>
      </c>
      <c r="AM1100" s="15" t="s">
        <v>375</v>
      </c>
    </row>
    <row r="1101" spans="1:39" x14ac:dyDescent="0.3">
      <c r="A1101" s="1">
        <v>0</v>
      </c>
      <c r="D1101" s="2">
        <v>0</v>
      </c>
      <c r="F1101" s="2">
        <v>3</v>
      </c>
      <c r="G1101" s="3">
        <v>5</v>
      </c>
      <c r="H1101" s="2">
        <v>0</v>
      </c>
      <c r="K1101" s="70">
        <v>2</v>
      </c>
      <c r="L1101" s="68">
        <v>98</v>
      </c>
      <c r="N1101" s="72">
        <v>5</v>
      </c>
      <c r="O1101" s="84"/>
      <c r="Q1101" s="84">
        <v>1</v>
      </c>
      <c r="W1101" s="10">
        <v>0.98</v>
      </c>
      <c r="X1101" s="77">
        <v>126</v>
      </c>
      <c r="AI1101" s="81" t="s">
        <v>363</v>
      </c>
      <c r="AJ1101" s="81" t="s">
        <v>83</v>
      </c>
      <c r="AK1101" s="81">
        <v>1995</v>
      </c>
      <c r="AL1101" s="81" t="s">
        <v>362</v>
      </c>
      <c r="AM1101" s="15" t="s">
        <v>375</v>
      </c>
    </row>
    <row r="1102" spans="1:39" x14ac:dyDescent="0.3">
      <c r="A1102" s="1">
        <v>0</v>
      </c>
      <c r="D1102" s="2">
        <v>0</v>
      </c>
      <c r="F1102" s="2">
        <v>3</v>
      </c>
      <c r="G1102" s="3">
        <v>5</v>
      </c>
      <c r="H1102" s="2">
        <v>0</v>
      </c>
      <c r="K1102" s="70">
        <v>2</v>
      </c>
      <c r="L1102" s="2">
        <v>147</v>
      </c>
      <c r="N1102" s="6">
        <v>5</v>
      </c>
      <c r="O1102" s="84"/>
      <c r="Q1102" s="84">
        <v>1</v>
      </c>
      <c r="W1102" s="76">
        <v>1</v>
      </c>
      <c r="X1102" s="77">
        <v>175</v>
      </c>
      <c r="AI1102" s="81" t="s">
        <v>363</v>
      </c>
      <c r="AJ1102" s="81" t="s">
        <v>83</v>
      </c>
      <c r="AK1102" s="81">
        <v>1995</v>
      </c>
      <c r="AL1102" s="81" t="s">
        <v>84</v>
      </c>
      <c r="AM1102" s="15" t="s">
        <v>375</v>
      </c>
    </row>
    <row r="1103" spans="1:39" x14ac:dyDescent="0.3">
      <c r="A1103" s="1">
        <v>0</v>
      </c>
      <c r="D1103" s="2">
        <v>0</v>
      </c>
      <c r="F1103" s="2">
        <v>3</v>
      </c>
      <c r="G1103" s="3">
        <v>4.7</v>
      </c>
      <c r="H1103" s="2">
        <v>0</v>
      </c>
      <c r="K1103" s="70">
        <v>2</v>
      </c>
      <c r="L1103" s="68">
        <v>98</v>
      </c>
      <c r="N1103" s="6">
        <v>4.7</v>
      </c>
      <c r="O1103" s="84"/>
      <c r="Q1103" s="84">
        <v>1</v>
      </c>
      <c r="U1103" s="75"/>
      <c r="W1103" s="76">
        <v>0.84</v>
      </c>
      <c r="X1103" s="77">
        <v>126</v>
      </c>
      <c r="AI1103" s="81" t="s">
        <v>368</v>
      </c>
      <c r="AJ1103" s="81" t="s">
        <v>83</v>
      </c>
      <c r="AK1103" s="81">
        <v>1995</v>
      </c>
      <c r="AL1103" s="81" t="s">
        <v>362</v>
      </c>
      <c r="AM1103" s="15" t="s">
        <v>375</v>
      </c>
    </row>
    <row r="1104" spans="1:39" x14ac:dyDescent="0.3">
      <c r="A1104" s="1">
        <v>0</v>
      </c>
      <c r="D1104" s="2">
        <v>0</v>
      </c>
      <c r="F1104" s="2">
        <v>3</v>
      </c>
      <c r="G1104" s="3">
        <v>4.7</v>
      </c>
      <c r="H1104" s="2">
        <v>0</v>
      </c>
      <c r="K1104" s="70">
        <v>2</v>
      </c>
      <c r="L1104" s="68">
        <v>147</v>
      </c>
      <c r="N1104" s="6">
        <v>4.7</v>
      </c>
      <c r="O1104" s="84"/>
      <c r="Q1104" s="84">
        <v>1</v>
      </c>
      <c r="W1104" s="76">
        <v>0.94</v>
      </c>
      <c r="X1104" s="77">
        <v>175</v>
      </c>
      <c r="AI1104" s="81" t="s">
        <v>368</v>
      </c>
      <c r="AJ1104" s="81" t="s">
        <v>83</v>
      </c>
      <c r="AK1104" s="81">
        <v>1995</v>
      </c>
      <c r="AL1104" s="81" t="s">
        <v>84</v>
      </c>
      <c r="AM1104" s="15" t="s">
        <v>375</v>
      </c>
    </row>
    <row r="1105" spans="1:39" s="82" customFormat="1" x14ac:dyDescent="0.3">
      <c r="A1105" s="67">
        <v>0</v>
      </c>
      <c r="B1105" s="68"/>
      <c r="C1105" s="68"/>
      <c r="D1105" s="68">
        <v>0</v>
      </c>
      <c r="E1105" s="68"/>
      <c r="F1105" s="68">
        <v>3</v>
      </c>
      <c r="G1105" s="69">
        <v>5</v>
      </c>
      <c r="H1105" s="68">
        <v>0</v>
      </c>
      <c r="I1105" s="69"/>
      <c r="J1105" s="69"/>
      <c r="K1105" s="70">
        <v>2</v>
      </c>
      <c r="L1105" s="68">
        <v>98</v>
      </c>
      <c r="M1105" s="71"/>
      <c r="N1105" s="72">
        <v>5</v>
      </c>
      <c r="O1105" s="84"/>
      <c r="P1105" s="73"/>
      <c r="Q1105" s="84">
        <v>1</v>
      </c>
      <c r="R1105" s="74"/>
      <c r="S1105" s="74"/>
      <c r="T1105" s="75"/>
      <c r="U1105" s="75"/>
      <c r="V1105" s="76"/>
      <c r="W1105" s="76">
        <v>0.84</v>
      </c>
      <c r="X1105" s="77">
        <v>126</v>
      </c>
      <c r="Y1105" s="78"/>
      <c r="Z1105" s="79"/>
      <c r="AA1105" s="69"/>
      <c r="AB1105" s="68"/>
      <c r="AC1105" s="68"/>
      <c r="AD1105" s="68"/>
      <c r="AE1105" s="80"/>
      <c r="AF1105" s="80"/>
      <c r="AG1105" s="80"/>
      <c r="AH1105" s="80"/>
      <c r="AI1105" s="81" t="s">
        <v>374</v>
      </c>
      <c r="AJ1105" s="81" t="s">
        <v>83</v>
      </c>
      <c r="AK1105" s="81">
        <v>1995</v>
      </c>
      <c r="AL1105" s="81" t="s">
        <v>362</v>
      </c>
      <c r="AM1105" s="81" t="s">
        <v>375</v>
      </c>
    </row>
    <row r="1106" spans="1:39" s="82" customFormat="1" x14ac:dyDescent="0.3">
      <c r="A1106" s="67">
        <v>0</v>
      </c>
      <c r="B1106" s="68"/>
      <c r="C1106" s="68"/>
      <c r="D1106" s="68">
        <v>0</v>
      </c>
      <c r="E1106" s="68"/>
      <c r="F1106" s="68">
        <v>3</v>
      </c>
      <c r="G1106" s="69">
        <v>5</v>
      </c>
      <c r="H1106" s="68">
        <v>0</v>
      </c>
      <c r="I1106" s="69"/>
      <c r="J1106" s="69"/>
      <c r="K1106" s="70">
        <v>2</v>
      </c>
      <c r="L1106" s="68">
        <v>147</v>
      </c>
      <c r="M1106" s="71"/>
      <c r="N1106" s="72">
        <v>5</v>
      </c>
      <c r="O1106" s="84"/>
      <c r="P1106" s="73"/>
      <c r="Q1106" s="84">
        <v>1</v>
      </c>
      <c r="R1106" s="74"/>
      <c r="S1106" s="74"/>
      <c r="T1106" s="75"/>
      <c r="U1106" s="75"/>
      <c r="V1106" s="76"/>
      <c r="W1106" s="76">
        <v>0.94</v>
      </c>
      <c r="X1106" s="77">
        <v>175</v>
      </c>
      <c r="Y1106" s="78"/>
      <c r="Z1106" s="79"/>
      <c r="AA1106" s="69"/>
      <c r="AB1106" s="68"/>
      <c r="AC1106" s="68"/>
      <c r="AD1106" s="68"/>
      <c r="AE1106" s="80"/>
      <c r="AF1106" s="80"/>
      <c r="AG1106" s="80"/>
      <c r="AH1106" s="80"/>
      <c r="AI1106" s="81" t="s">
        <v>374</v>
      </c>
      <c r="AJ1106" s="81" t="s">
        <v>83</v>
      </c>
      <c r="AK1106" s="81">
        <v>1995</v>
      </c>
      <c r="AL1106" s="81" t="s">
        <v>84</v>
      </c>
      <c r="AM1106" s="81" t="s">
        <v>375</v>
      </c>
    </row>
    <row r="1107" spans="1:39" s="82" customFormat="1" x14ac:dyDescent="0.3">
      <c r="A1107" s="67">
        <v>0</v>
      </c>
      <c r="B1107" s="68"/>
      <c r="C1107" s="68"/>
      <c r="D1107" s="68">
        <v>0</v>
      </c>
      <c r="E1107" s="68"/>
      <c r="F1107" s="68">
        <v>3</v>
      </c>
      <c r="G1107" s="69">
        <v>5</v>
      </c>
      <c r="H1107" s="68">
        <v>0</v>
      </c>
      <c r="I1107" s="69"/>
      <c r="J1107" s="69"/>
      <c r="K1107" s="70">
        <v>2</v>
      </c>
      <c r="L1107" s="68">
        <v>98</v>
      </c>
      <c r="M1107" s="71"/>
      <c r="N1107" s="72">
        <v>5</v>
      </c>
      <c r="O1107" s="84"/>
      <c r="P1107" s="73"/>
      <c r="Q1107" s="84">
        <v>1</v>
      </c>
      <c r="R1107" s="74"/>
      <c r="S1107" s="74"/>
      <c r="T1107" s="75"/>
      <c r="U1107" s="75"/>
      <c r="V1107" s="76"/>
      <c r="W1107" s="76">
        <v>0.84</v>
      </c>
      <c r="X1107" s="77">
        <v>126</v>
      </c>
      <c r="Y1107" s="78"/>
      <c r="Z1107" s="79"/>
      <c r="AA1107" s="69"/>
      <c r="AB1107" s="68"/>
      <c r="AC1107" s="68"/>
      <c r="AD1107" s="68"/>
      <c r="AE1107" s="80"/>
      <c r="AF1107" s="80"/>
      <c r="AG1107" s="80"/>
      <c r="AH1107" s="80"/>
      <c r="AI1107" s="81" t="s">
        <v>371</v>
      </c>
      <c r="AJ1107" s="81" t="s">
        <v>83</v>
      </c>
      <c r="AK1107" s="81">
        <v>1995</v>
      </c>
      <c r="AL1107" s="81" t="s">
        <v>362</v>
      </c>
      <c r="AM1107" s="81" t="s">
        <v>375</v>
      </c>
    </row>
    <row r="1108" spans="1:39" s="82" customFormat="1" x14ac:dyDescent="0.3">
      <c r="A1108" s="67">
        <v>0</v>
      </c>
      <c r="B1108" s="68"/>
      <c r="C1108" s="68"/>
      <c r="D1108" s="68">
        <v>0</v>
      </c>
      <c r="E1108" s="68"/>
      <c r="F1108" s="68">
        <v>3</v>
      </c>
      <c r="G1108" s="69">
        <v>5</v>
      </c>
      <c r="H1108" s="68">
        <v>0</v>
      </c>
      <c r="I1108" s="69"/>
      <c r="J1108" s="69"/>
      <c r="K1108" s="70">
        <v>2</v>
      </c>
      <c r="L1108" s="68">
        <v>147</v>
      </c>
      <c r="M1108" s="71"/>
      <c r="N1108" s="72">
        <v>5</v>
      </c>
      <c r="O1108" s="84"/>
      <c r="P1108" s="73"/>
      <c r="Q1108" s="84">
        <v>1</v>
      </c>
      <c r="R1108" s="74"/>
      <c r="S1108" s="74"/>
      <c r="T1108" s="75"/>
      <c r="U1108" s="75"/>
      <c r="V1108" s="76"/>
      <c r="W1108" s="76">
        <v>0.94</v>
      </c>
      <c r="X1108" s="77">
        <v>175</v>
      </c>
      <c r="Y1108" s="78"/>
      <c r="Z1108" s="79"/>
      <c r="AA1108" s="69"/>
      <c r="AB1108" s="68"/>
      <c r="AC1108" s="68"/>
      <c r="AD1108" s="68"/>
      <c r="AE1108" s="80"/>
      <c r="AF1108" s="80"/>
      <c r="AG1108" s="80"/>
      <c r="AH1108" s="80"/>
      <c r="AI1108" s="81" t="s">
        <v>371</v>
      </c>
      <c r="AJ1108" s="81" t="s">
        <v>83</v>
      </c>
      <c r="AK1108" s="81">
        <v>1995</v>
      </c>
      <c r="AL1108" s="81" t="s">
        <v>84</v>
      </c>
      <c r="AM1108" s="81" t="s">
        <v>375</v>
      </c>
    </row>
    <row r="1109" spans="1:39" s="82" customFormat="1" x14ac:dyDescent="0.3">
      <c r="A1109" s="67">
        <v>0</v>
      </c>
      <c r="B1109" s="68"/>
      <c r="C1109" s="68"/>
      <c r="D1109" s="68">
        <v>0</v>
      </c>
      <c r="E1109" s="68"/>
      <c r="F1109" s="68">
        <v>3</v>
      </c>
      <c r="G1109" s="69">
        <v>5</v>
      </c>
      <c r="H1109" s="68">
        <v>0</v>
      </c>
      <c r="I1109" s="69"/>
      <c r="J1109" s="69"/>
      <c r="K1109" s="70">
        <v>2</v>
      </c>
      <c r="L1109" s="68">
        <v>98</v>
      </c>
      <c r="M1109" s="71"/>
      <c r="N1109" s="72">
        <v>5</v>
      </c>
      <c r="O1109" s="84"/>
      <c r="P1109" s="73"/>
      <c r="Q1109" s="84">
        <v>1</v>
      </c>
      <c r="R1109" s="74"/>
      <c r="S1109" s="74"/>
      <c r="T1109" s="75"/>
      <c r="U1109" s="75"/>
      <c r="V1109" s="76"/>
      <c r="W1109" s="76">
        <v>0.84</v>
      </c>
      <c r="X1109" s="77">
        <v>126</v>
      </c>
      <c r="Y1109" s="78"/>
      <c r="Z1109" s="79"/>
      <c r="AA1109" s="69"/>
      <c r="AB1109" s="68"/>
      <c r="AC1109" s="68"/>
      <c r="AD1109" s="68"/>
      <c r="AE1109" s="80"/>
      <c r="AF1109" s="80"/>
      <c r="AG1109" s="80"/>
      <c r="AH1109" s="80"/>
      <c r="AI1109" s="81" t="s">
        <v>365</v>
      </c>
      <c r="AJ1109" s="81" t="s">
        <v>83</v>
      </c>
      <c r="AK1109" s="81">
        <v>1995</v>
      </c>
      <c r="AL1109" s="81" t="s">
        <v>362</v>
      </c>
      <c r="AM1109" s="81" t="s">
        <v>375</v>
      </c>
    </row>
    <row r="1110" spans="1:39" s="82" customFormat="1" x14ac:dyDescent="0.3">
      <c r="A1110" s="67">
        <v>0</v>
      </c>
      <c r="B1110" s="68"/>
      <c r="C1110" s="68"/>
      <c r="D1110" s="68">
        <v>0</v>
      </c>
      <c r="E1110" s="68"/>
      <c r="F1110" s="68">
        <v>3</v>
      </c>
      <c r="G1110" s="69">
        <v>5</v>
      </c>
      <c r="H1110" s="68">
        <v>0</v>
      </c>
      <c r="I1110" s="69"/>
      <c r="J1110" s="69"/>
      <c r="K1110" s="70">
        <v>2</v>
      </c>
      <c r="L1110" s="68">
        <v>147</v>
      </c>
      <c r="M1110" s="71"/>
      <c r="N1110" s="72">
        <v>5</v>
      </c>
      <c r="O1110" s="84"/>
      <c r="P1110" s="73"/>
      <c r="Q1110" s="84">
        <v>1</v>
      </c>
      <c r="R1110" s="74"/>
      <c r="S1110" s="74"/>
      <c r="T1110" s="75"/>
      <c r="U1110" s="75"/>
      <c r="V1110" s="76"/>
      <c r="W1110" s="76">
        <v>0.94</v>
      </c>
      <c r="X1110" s="77">
        <v>175</v>
      </c>
      <c r="Y1110" s="78"/>
      <c r="Z1110" s="79"/>
      <c r="AA1110" s="69"/>
      <c r="AB1110" s="68"/>
      <c r="AC1110" s="68"/>
      <c r="AD1110" s="68"/>
      <c r="AE1110" s="80"/>
      <c r="AF1110" s="80"/>
      <c r="AG1110" s="80"/>
      <c r="AH1110" s="80"/>
      <c r="AI1110" s="81" t="s">
        <v>365</v>
      </c>
      <c r="AJ1110" s="81" t="s">
        <v>83</v>
      </c>
      <c r="AK1110" s="81">
        <v>1995</v>
      </c>
      <c r="AL1110" s="81" t="s">
        <v>84</v>
      </c>
      <c r="AM1110" s="81" t="s">
        <v>375</v>
      </c>
    </row>
    <row r="1111" spans="1:39" s="82" customFormat="1" x14ac:dyDescent="0.3">
      <c r="A1111" s="67">
        <v>0</v>
      </c>
      <c r="B1111" s="68"/>
      <c r="C1111" s="68"/>
      <c r="D1111" s="68">
        <v>0</v>
      </c>
      <c r="E1111" s="68"/>
      <c r="F1111" s="68">
        <v>3</v>
      </c>
      <c r="G1111" s="69">
        <v>4.7</v>
      </c>
      <c r="H1111" s="68">
        <v>0</v>
      </c>
      <c r="I1111" s="69"/>
      <c r="J1111" s="69"/>
      <c r="K1111" s="70">
        <v>2</v>
      </c>
      <c r="L1111" s="68">
        <v>98</v>
      </c>
      <c r="M1111" s="71"/>
      <c r="N1111" s="72">
        <v>4.7</v>
      </c>
      <c r="O1111" s="84"/>
      <c r="P1111" s="73"/>
      <c r="Q1111" s="84">
        <v>1</v>
      </c>
      <c r="R1111" s="74"/>
      <c r="S1111" s="74"/>
      <c r="T1111" s="75"/>
      <c r="U1111" s="75"/>
      <c r="V1111" s="76"/>
      <c r="W1111" s="76">
        <v>0.93</v>
      </c>
      <c r="X1111" s="77">
        <v>126</v>
      </c>
      <c r="Y1111" s="78"/>
      <c r="Z1111" s="79"/>
      <c r="AA1111" s="69"/>
      <c r="AB1111" s="68"/>
      <c r="AC1111" s="68"/>
      <c r="AD1111" s="68"/>
      <c r="AE1111" s="80"/>
      <c r="AF1111" s="80"/>
      <c r="AG1111" s="80"/>
      <c r="AH1111" s="80"/>
      <c r="AI1111" s="81" t="s">
        <v>367</v>
      </c>
      <c r="AJ1111" s="81" t="s">
        <v>83</v>
      </c>
      <c r="AK1111" s="81">
        <v>1995</v>
      </c>
      <c r="AL1111" s="81" t="s">
        <v>362</v>
      </c>
      <c r="AM1111" s="81" t="s">
        <v>375</v>
      </c>
    </row>
    <row r="1112" spans="1:39" s="82" customFormat="1" x14ac:dyDescent="0.3">
      <c r="A1112" s="67">
        <v>0</v>
      </c>
      <c r="B1112" s="68"/>
      <c r="C1112" s="68"/>
      <c r="D1112" s="68">
        <v>0</v>
      </c>
      <c r="E1112" s="68"/>
      <c r="F1112" s="68">
        <v>3</v>
      </c>
      <c r="G1112" s="69">
        <v>4.7</v>
      </c>
      <c r="H1112" s="68">
        <v>0</v>
      </c>
      <c r="I1112" s="69"/>
      <c r="J1112" s="69"/>
      <c r="K1112" s="70">
        <v>2</v>
      </c>
      <c r="L1112" s="68">
        <v>147</v>
      </c>
      <c r="M1112" s="71"/>
      <c r="N1112" s="72">
        <v>4.7</v>
      </c>
      <c r="O1112" s="84"/>
      <c r="P1112" s="73"/>
      <c r="Q1112" s="84">
        <v>1</v>
      </c>
      <c r="R1112" s="74"/>
      <c r="S1112" s="74"/>
      <c r="T1112" s="75"/>
      <c r="U1112" s="75"/>
      <c r="V1112" s="76"/>
      <c r="W1112" s="76">
        <v>0.96</v>
      </c>
      <c r="X1112" s="77">
        <v>175</v>
      </c>
      <c r="Y1112" s="78"/>
      <c r="Z1112" s="79"/>
      <c r="AA1112" s="69"/>
      <c r="AB1112" s="68"/>
      <c r="AC1112" s="68"/>
      <c r="AD1112" s="68"/>
      <c r="AE1112" s="80"/>
      <c r="AF1112" s="80"/>
      <c r="AG1112" s="80"/>
      <c r="AH1112" s="80"/>
      <c r="AI1112" s="81" t="s">
        <v>367</v>
      </c>
      <c r="AJ1112" s="81" t="s">
        <v>83</v>
      </c>
      <c r="AK1112" s="81">
        <v>1995</v>
      </c>
      <c r="AL1112" s="81" t="s">
        <v>84</v>
      </c>
      <c r="AM1112" s="81" t="s">
        <v>375</v>
      </c>
    </row>
    <row r="1113" spans="1:39" s="82" customFormat="1" x14ac:dyDescent="0.3">
      <c r="A1113" s="67">
        <v>0</v>
      </c>
      <c r="B1113" s="68"/>
      <c r="C1113" s="68"/>
      <c r="D1113" s="68">
        <v>0</v>
      </c>
      <c r="E1113" s="68"/>
      <c r="F1113" s="68">
        <v>3</v>
      </c>
      <c r="G1113" s="69">
        <v>5</v>
      </c>
      <c r="H1113" s="68">
        <v>0</v>
      </c>
      <c r="I1113" s="69"/>
      <c r="J1113" s="69"/>
      <c r="K1113" s="70">
        <v>2</v>
      </c>
      <c r="L1113" s="68">
        <v>98</v>
      </c>
      <c r="M1113" s="71"/>
      <c r="N1113" s="72">
        <v>5</v>
      </c>
      <c r="O1113" s="84"/>
      <c r="P1113" s="73"/>
      <c r="Q1113" s="84">
        <v>1</v>
      </c>
      <c r="R1113" s="74"/>
      <c r="S1113" s="74"/>
      <c r="T1113" s="75"/>
      <c r="U1113" s="75"/>
      <c r="V1113" s="76"/>
      <c r="W1113" s="76">
        <v>0.93</v>
      </c>
      <c r="X1113" s="77">
        <v>126</v>
      </c>
      <c r="Y1113" s="78"/>
      <c r="Z1113" s="79"/>
      <c r="AA1113" s="69"/>
      <c r="AB1113" s="68"/>
      <c r="AC1113" s="68"/>
      <c r="AD1113" s="68"/>
      <c r="AE1113" s="80"/>
      <c r="AF1113" s="80"/>
      <c r="AG1113" s="80"/>
      <c r="AH1113" s="80"/>
      <c r="AI1113" s="81" t="s">
        <v>373</v>
      </c>
      <c r="AJ1113" s="81" t="s">
        <v>83</v>
      </c>
      <c r="AK1113" s="81">
        <v>1995</v>
      </c>
      <c r="AL1113" s="81" t="s">
        <v>362</v>
      </c>
      <c r="AM1113" s="81" t="s">
        <v>375</v>
      </c>
    </row>
    <row r="1114" spans="1:39" s="82" customFormat="1" x14ac:dyDescent="0.3">
      <c r="A1114" s="67">
        <v>0</v>
      </c>
      <c r="B1114" s="68"/>
      <c r="C1114" s="68"/>
      <c r="D1114" s="68">
        <v>0</v>
      </c>
      <c r="E1114" s="68"/>
      <c r="F1114" s="68">
        <v>3</v>
      </c>
      <c r="G1114" s="69">
        <v>5</v>
      </c>
      <c r="H1114" s="68">
        <v>0</v>
      </c>
      <c r="I1114" s="69"/>
      <c r="J1114" s="69"/>
      <c r="K1114" s="70">
        <v>2</v>
      </c>
      <c r="L1114" s="68">
        <v>147</v>
      </c>
      <c r="M1114" s="71"/>
      <c r="N1114" s="72">
        <v>5</v>
      </c>
      <c r="O1114" s="84"/>
      <c r="P1114" s="73"/>
      <c r="Q1114" s="84">
        <v>1</v>
      </c>
      <c r="R1114" s="74"/>
      <c r="S1114" s="74"/>
      <c r="T1114" s="75"/>
      <c r="U1114" s="75"/>
      <c r="V1114" s="76"/>
      <c r="W1114" s="76">
        <v>0.96</v>
      </c>
      <c r="X1114" s="77">
        <v>175</v>
      </c>
      <c r="Y1114" s="78"/>
      <c r="Z1114" s="79"/>
      <c r="AA1114" s="69"/>
      <c r="AB1114" s="68"/>
      <c r="AC1114" s="68"/>
      <c r="AD1114" s="68"/>
      <c r="AE1114" s="80"/>
      <c r="AF1114" s="80"/>
      <c r="AG1114" s="80"/>
      <c r="AH1114" s="80"/>
      <c r="AI1114" s="81" t="s">
        <v>373</v>
      </c>
      <c r="AJ1114" s="81" t="s">
        <v>83</v>
      </c>
      <c r="AK1114" s="81">
        <v>1995</v>
      </c>
      <c r="AL1114" s="81" t="s">
        <v>84</v>
      </c>
      <c r="AM1114" s="81" t="s">
        <v>375</v>
      </c>
    </row>
    <row r="1115" spans="1:39" s="82" customFormat="1" x14ac:dyDescent="0.3">
      <c r="A1115" s="67">
        <v>0</v>
      </c>
      <c r="B1115" s="68"/>
      <c r="C1115" s="68"/>
      <c r="D1115" s="68">
        <v>0</v>
      </c>
      <c r="E1115" s="68"/>
      <c r="F1115" s="68">
        <v>3</v>
      </c>
      <c r="G1115" s="69">
        <v>5</v>
      </c>
      <c r="H1115" s="68">
        <v>0</v>
      </c>
      <c r="I1115" s="69"/>
      <c r="J1115" s="69"/>
      <c r="K1115" s="70">
        <v>2</v>
      </c>
      <c r="L1115" s="68">
        <v>98</v>
      </c>
      <c r="M1115" s="71"/>
      <c r="N1115" s="72">
        <v>5</v>
      </c>
      <c r="O1115" s="84"/>
      <c r="P1115" s="73"/>
      <c r="Q1115" s="84">
        <v>1</v>
      </c>
      <c r="R1115" s="74"/>
      <c r="S1115" s="74"/>
      <c r="T1115" s="75"/>
      <c r="U1115" s="75"/>
      <c r="V1115" s="76"/>
      <c r="W1115" s="76">
        <v>0.93</v>
      </c>
      <c r="X1115" s="77">
        <v>126</v>
      </c>
      <c r="Y1115" s="78"/>
      <c r="Z1115" s="79"/>
      <c r="AA1115" s="69"/>
      <c r="AB1115" s="68"/>
      <c r="AC1115" s="68"/>
      <c r="AD1115" s="68"/>
      <c r="AE1115" s="80"/>
      <c r="AF1115" s="80"/>
      <c r="AG1115" s="80"/>
      <c r="AH1115" s="80"/>
      <c r="AI1115" s="81" t="s">
        <v>370</v>
      </c>
      <c r="AJ1115" s="81" t="s">
        <v>83</v>
      </c>
      <c r="AK1115" s="81">
        <v>1995</v>
      </c>
      <c r="AL1115" s="81" t="s">
        <v>362</v>
      </c>
      <c r="AM1115" s="81" t="s">
        <v>375</v>
      </c>
    </row>
    <row r="1116" spans="1:39" s="82" customFormat="1" x14ac:dyDescent="0.3">
      <c r="A1116" s="67">
        <v>0</v>
      </c>
      <c r="B1116" s="68"/>
      <c r="C1116" s="68"/>
      <c r="D1116" s="68">
        <v>0</v>
      </c>
      <c r="E1116" s="68"/>
      <c r="F1116" s="68">
        <v>3</v>
      </c>
      <c r="G1116" s="69">
        <v>5</v>
      </c>
      <c r="H1116" s="68">
        <v>0</v>
      </c>
      <c r="I1116" s="69"/>
      <c r="J1116" s="69"/>
      <c r="K1116" s="70">
        <v>2</v>
      </c>
      <c r="L1116" s="68">
        <v>147</v>
      </c>
      <c r="M1116" s="71"/>
      <c r="N1116" s="72">
        <v>5</v>
      </c>
      <c r="O1116" s="84"/>
      <c r="P1116" s="73"/>
      <c r="Q1116" s="84">
        <v>1</v>
      </c>
      <c r="R1116" s="74"/>
      <c r="S1116" s="74"/>
      <c r="T1116" s="75"/>
      <c r="U1116" s="75"/>
      <c r="V1116" s="76"/>
      <c r="W1116" s="76">
        <v>0.96</v>
      </c>
      <c r="X1116" s="77">
        <v>175</v>
      </c>
      <c r="Y1116" s="78"/>
      <c r="Z1116" s="79"/>
      <c r="AA1116" s="69"/>
      <c r="AB1116" s="68"/>
      <c r="AC1116" s="68"/>
      <c r="AD1116" s="68"/>
      <c r="AE1116" s="80"/>
      <c r="AF1116" s="80"/>
      <c r="AG1116" s="80"/>
      <c r="AH1116" s="80"/>
      <c r="AI1116" s="81" t="s">
        <v>370</v>
      </c>
      <c r="AJ1116" s="81" t="s">
        <v>83</v>
      </c>
      <c r="AK1116" s="81">
        <v>1995</v>
      </c>
      <c r="AL1116" s="81" t="s">
        <v>84</v>
      </c>
      <c r="AM1116" s="81" t="s">
        <v>375</v>
      </c>
    </row>
    <row r="1117" spans="1:39" s="82" customFormat="1" x14ac:dyDescent="0.3">
      <c r="A1117" s="67">
        <v>0</v>
      </c>
      <c r="B1117" s="68"/>
      <c r="C1117" s="68"/>
      <c r="D1117" s="68">
        <v>0</v>
      </c>
      <c r="E1117" s="68"/>
      <c r="F1117" s="68">
        <v>3</v>
      </c>
      <c r="G1117" s="69">
        <v>5</v>
      </c>
      <c r="H1117" s="68">
        <v>0</v>
      </c>
      <c r="I1117" s="69"/>
      <c r="J1117" s="69"/>
      <c r="K1117" s="70">
        <v>2</v>
      </c>
      <c r="L1117" s="68">
        <v>98</v>
      </c>
      <c r="M1117" s="71"/>
      <c r="N1117" s="72">
        <v>5</v>
      </c>
      <c r="O1117" s="84"/>
      <c r="P1117" s="73"/>
      <c r="Q1117" s="84">
        <v>1</v>
      </c>
      <c r="R1117" s="74"/>
      <c r="S1117" s="74"/>
      <c r="T1117" s="75"/>
      <c r="U1117" s="75"/>
      <c r="V1117" s="76"/>
      <c r="W1117" s="76">
        <v>0.93</v>
      </c>
      <c r="X1117" s="77">
        <v>126</v>
      </c>
      <c r="Y1117" s="78"/>
      <c r="Z1117" s="79"/>
      <c r="AA1117" s="69"/>
      <c r="AB1117" s="68"/>
      <c r="AC1117" s="68"/>
      <c r="AD1117" s="68"/>
      <c r="AE1117" s="80"/>
      <c r="AF1117" s="80"/>
      <c r="AG1117" s="80"/>
      <c r="AH1117" s="80"/>
      <c r="AI1117" s="81" t="s">
        <v>364</v>
      </c>
      <c r="AJ1117" s="81" t="s">
        <v>83</v>
      </c>
      <c r="AK1117" s="81">
        <v>1995</v>
      </c>
      <c r="AL1117" s="81" t="s">
        <v>362</v>
      </c>
      <c r="AM1117" s="81" t="s">
        <v>375</v>
      </c>
    </row>
    <row r="1118" spans="1:39" s="82" customFormat="1" x14ac:dyDescent="0.3">
      <c r="A1118" s="67">
        <v>0</v>
      </c>
      <c r="B1118" s="68"/>
      <c r="C1118" s="68"/>
      <c r="D1118" s="68">
        <v>0</v>
      </c>
      <c r="E1118" s="68"/>
      <c r="F1118" s="68">
        <v>3</v>
      </c>
      <c r="G1118" s="69">
        <v>5</v>
      </c>
      <c r="H1118" s="68">
        <v>0</v>
      </c>
      <c r="I1118" s="69"/>
      <c r="J1118" s="69"/>
      <c r="K1118" s="70">
        <v>2</v>
      </c>
      <c r="L1118" s="68">
        <v>147</v>
      </c>
      <c r="M1118" s="71"/>
      <c r="N1118" s="72">
        <v>5</v>
      </c>
      <c r="O1118" s="84"/>
      <c r="P1118" s="73"/>
      <c r="Q1118" s="84">
        <v>1</v>
      </c>
      <c r="R1118" s="74"/>
      <c r="S1118" s="74"/>
      <c r="T1118" s="75"/>
      <c r="U1118" s="75"/>
      <c r="V1118" s="76"/>
      <c r="W1118" s="76">
        <v>0.96</v>
      </c>
      <c r="X1118" s="77">
        <v>175</v>
      </c>
      <c r="Y1118" s="78"/>
      <c r="Z1118" s="79"/>
      <c r="AA1118" s="69"/>
      <c r="AB1118" s="68"/>
      <c r="AC1118" s="68"/>
      <c r="AD1118" s="68"/>
      <c r="AE1118" s="80"/>
      <c r="AF1118" s="80"/>
      <c r="AG1118" s="80"/>
      <c r="AH1118" s="80"/>
      <c r="AI1118" s="81" t="s">
        <v>364</v>
      </c>
      <c r="AJ1118" s="81" t="s">
        <v>83</v>
      </c>
      <c r="AK1118" s="81">
        <v>1995</v>
      </c>
      <c r="AL1118" s="81" t="s">
        <v>84</v>
      </c>
      <c r="AM1118" s="81" t="s">
        <v>375</v>
      </c>
    </row>
    <row r="1119" spans="1:39" s="82" customFormat="1" x14ac:dyDescent="0.3">
      <c r="A1119" s="67">
        <v>184</v>
      </c>
      <c r="B1119" s="68"/>
      <c r="C1119" s="68"/>
      <c r="D1119" s="68">
        <v>0</v>
      </c>
      <c r="E1119" s="68"/>
      <c r="F1119" s="68">
        <v>0</v>
      </c>
      <c r="G1119" s="69">
        <v>5.8</v>
      </c>
      <c r="H1119" s="68">
        <v>0</v>
      </c>
      <c r="I1119" s="69">
        <v>3.8</v>
      </c>
      <c r="J1119" s="69">
        <v>6.3</v>
      </c>
      <c r="K1119" s="70">
        <v>3</v>
      </c>
      <c r="L1119" s="68">
        <v>0</v>
      </c>
      <c r="M1119" s="71"/>
      <c r="N1119" s="72">
        <v>5.8</v>
      </c>
      <c r="O1119" s="84">
        <v>0</v>
      </c>
      <c r="P1119" s="73"/>
      <c r="Q1119" s="84">
        <v>1</v>
      </c>
      <c r="R1119" s="73">
        <v>3.8</v>
      </c>
      <c r="S1119" s="74">
        <v>6.3</v>
      </c>
      <c r="T1119" s="75"/>
      <c r="U1119" s="75"/>
      <c r="V1119" s="76"/>
      <c r="W1119" s="76">
        <v>0.11</v>
      </c>
      <c r="X1119" s="77">
        <v>42</v>
      </c>
      <c r="Y1119" s="78"/>
      <c r="Z1119" s="79"/>
      <c r="AA1119" s="69"/>
      <c r="AB1119" s="68"/>
      <c r="AC1119" s="68"/>
      <c r="AD1119" s="68"/>
      <c r="AE1119" s="80"/>
      <c r="AF1119" s="80"/>
      <c r="AG1119" s="80"/>
      <c r="AH1119" s="80"/>
      <c r="AI1119" s="81" t="s">
        <v>377</v>
      </c>
      <c r="AJ1119" s="81" t="s">
        <v>83</v>
      </c>
      <c r="AK1119" s="81">
        <v>1995</v>
      </c>
      <c r="AL1119" s="81" t="s">
        <v>362</v>
      </c>
      <c r="AM1119" s="81"/>
    </row>
    <row r="1120" spans="1:39" s="82" customFormat="1" x14ac:dyDescent="0.3">
      <c r="A1120" s="67">
        <v>184</v>
      </c>
      <c r="B1120" s="68"/>
      <c r="C1120" s="68"/>
      <c r="D1120" s="68">
        <v>0</v>
      </c>
      <c r="E1120" s="68"/>
      <c r="F1120" s="68">
        <v>1</v>
      </c>
      <c r="G1120" s="69">
        <v>5.8</v>
      </c>
      <c r="H1120" s="68">
        <v>0</v>
      </c>
      <c r="I1120" s="69">
        <v>3.8</v>
      </c>
      <c r="J1120" s="69">
        <v>6.3</v>
      </c>
      <c r="K1120" s="70">
        <v>3</v>
      </c>
      <c r="L1120" s="68">
        <v>42</v>
      </c>
      <c r="M1120" s="71"/>
      <c r="N1120" s="72">
        <v>5.8</v>
      </c>
      <c r="O1120" s="84">
        <v>42</v>
      </c>
      <c r="P1120" s="73">
        <v>0.11</v>
      </c>
      <c r="Q1120" s="84">
        <v>1</v>
      </c>
      <c r="R1120" s="73"/>
      <c r="S1120" s="74"/>
      <c r="T1120" s="75"/>
      <c r="U1120" s="75"/>
      <c r="V1120" s="76"/>
      <c r="W1120" s="76">
        <v>0.36</v>
      </c>
      <c r="X1120" s="77">
        <v>70</v>
      </c>
      <c r="Y1120" s="78"/>
      <c r="Z1120" s="79"/>
      <c r="AA1120" s="69"/>
      <c r="AB1120" s="68"/>
      <c r="AC1120" s="68"/>
      <c r="AD1120" s="68"/>
      <c r="AE1120" s="80"/>
      <c r="AF1120" s="80"/>
      <c r="AG1120" s="80"/>
      <c r="AH1120" s="80"/>
      <c r="AI1120" s="81" t="s">
        <v>377</v>
      </c>
      <c r="AJ1120" s="81" t="s">
        <v>83</v>
      </c>
      <c r="AK1120" s="81">
        <v>1995</v>
      </c>
      <c r="AL1120" s="81" t="s">
        <v>362</v>
      </c>
      <c r="AM1120" s="81"/>
    </row>
    <row r="1121" spans="1:39" s="82" customFormat="1" x14ac:dyDescent="0.3">
      <c r="A1121" s="67">
        <v>169</v>
      </c>
      <c r="B1121" s="68"/>
      <c r="C1121" s="68"/>
      <c r="D1121" s="68">
        <v>0</v>
      </c>
      <c r="E1121" s="68"/>
      <c r="F1121" s="68">
        <v>1</v>
      </c>
      <c r="G1121" s="69">
        <v>5.8</v>
      </c>
      <c r="H1121" s="68">
        <v>0</v>
      </c>
      <c r="I1121" s="69">
        <v>4.8</v>
      </c>
      <c r="J1121" s="69">
        <v>7.6</v>
      </c>
      <c r="K1121" s="70">
        <v>3</v>
      </c>
      <c r="L1121" s="68">
        <v>56</v>
      </c>
      <c r="M1121" s="71"/>
      <c r="N1121" s="72">
        <v>5.8</v>
      </c>
      <c r="O1121" s="84">
        <v>56</v>
      </c>
      <c r="P1121" s="73"/>
      <c r="Q1121" s="84">
        <v>1</v>
      </c>
      <c r="R1121" s="73"/>
      <c r="S1121" s="74"/>
      <c r="T1121" s="75"/>
      <c r="U1121" s="75"/>
      <c r="V1121" s="76"/>
      <c r="W1121" s="76">
        <v>0.43</v>
      </c>
      <c r="X1121" s="77">
        <v>112</v>
      </c>
      <c r="Y1121" s="78"/>
      <c r="Z1121" s="79"/>
      <c r="AA1121" s="69"/>
      <c r="AB1121" s="68"/>
      <c r="AC1121" s="68"/>
      <c r="AD1121" s="68"/>
      <c r="AE1121" s="80"/>
      <c r="AF1121" s="80"/>
      <c r="AG1121" s="80"/>
      <c r="AH1121" s="80"/>
      <c r="AI1121" s="81" t="s">
        <v>377</v>
      </c>
      <c r="AJ1121" s="81" t="s">
        <v>83</v>
      </c>
      <c r="AK1121" s="81">
        <v>1995</v>
      </c>
      <c r="AL1121" s="81" t="s">
        <v>84</v>
      </c>
      <c r="AM1121" s="81"/>
    </row>
    <row r="1122" spans="1:39" s="82" customFormat="1" x14ac:dyDescent="0.3">
      <c r="A1122" s="67">
        <v>184</v>
      </c>
      <c r="B1122" s="68"/>
      <c r="C1122" s="68"/>
      <c r="D1122" s="68">
        <v>0</v>
      </c>
      <c r="E1122" s="68"/>
      <c r="F1122" s="68">
        <v>2</v>
      </c>
      <c r="G1122" s="69">
        <v>5.8</v>
      </c>
      <c r="H1122" s="68">
        <v>0</v>
      </c>
      <c r="I1122" s="69">
        <v>3.8</v>
      </c>
      <c r="J1122" s="69">
        <v>6.3</v>
      </c>
      <c r="K1122" s="70">
        <v>3</v>
      </c>
      <c r="L1122" s="68">
        <v>70</v>
      </c>
      <c r="M1122" s="71"/>
      <c r="N1122" s="72">
        <v>5.8</v>
      </c>
      <c r="O1122" s="84">
        <v>70</v>
      </c>
      <c r="P1122" s="73">
        <v>0.36</v>
      </c>
      <c r="Q1122" s="84">
        <v>1</v>
      </c>
      <c r="R1122" s="73"/>
      <c r="S1122" s="74"/>
      <c r="T1122" s="75"/>
      <c r="U1122" s="75"/>
      <c r="V1122" s="76"/>
      <c r="W1122" s="76">
        <v>0.52</v>
      </c>
      <c r="X1122" s="77">
        <v>98</v>
      </c>
      <c r="Y1122" s="78"/>
      <c r="Z1122" s="79"/>
      <c r="AA1122" s="69"/>
      <c r="AB1122" s="68"/>
      <c r="AC1122" s="68"/>
      <c r="AD1122" s="68"/>
      <c r="AE1122" s="80"/>
      <c r="AF1122" s="80"/>
      <c r="AG1122" s="80"/>
      <c r="AH1122" s="80"/>
      <c r="AI1122" s="81" t="s">
        <v>377</v>
      </c>
      <c r="AJ1122" s="81" t="s">
        <v>83</v>
      </c>
      <c r="AK1122" s="81">
        <v>1995</v>
      </c>
      <c r="AL1122" s="81" t="s">
        <v>362</v>
      </c>
      <c r="AM1122" s="81"/>
    </row>
    <row r="1123" spans="1:39" s="82" customFormat="1" x14ac:dyDescent="0.3">
      <c r="A1123" s="67">
        <v>184</v>
      </c>
      <c r="B1123" s="68"/>
      <c r="C1123" s="68"/>
      <c r="D1123" s="68">
        <v>0</v>
      </c>
      <c r="E1123" s="68"/>
      <c r="F1123" s="68">
        <v>3</v>
      </c>
      <c r="G1123" s="69">
        <v>5.8</v>
      </c>
      <c r="H1123" s="68">
        <v>0</v>
      </c>
      <c r="I1123" s="69">
        <v>3.8</v>
      </c>
      <c r="J1123" s="69">
        <v>6.3</v>
      </c>
      <c r="K1123" s="70">
        <v>3</v>
      </c>
      <c r="L1123" s="68">
        <v>98</v>
      </c>
      <c r="M1123" s="71"/>
      <c r="N1123" s="72">
        <v>5.8</v>
      </c>
      <c r="O1123" s="84">
        <v>98</v>
      </c>
      <c r="P1123" s="73">
        <v>0.52</v>
      </c>
      <c r="Q1123" s="84">
        <v>1</v>
      </c>
      <c r="R1123" s="73"/>
      <c r="S1123" s="74"/>
      <c r="T1123" s="75">
        <v>7.8</v>
      </c>
      <c r="U1123" s="75">
        <v>8</v>
      </c>
      <c r="V1123" s="76"/>
      <c r="W1123" s="76">
        <v>0.64</v>
      </c>
      <c r="X1123" s="77">
        <v>126</v>
      </c>
      <c r="Y1123" s="78"/>
      <c r="Z1123" s="79"/>
      <c r="AA1123" s="69"/>
      <c r="AB1123" s="68"/>
      <c r="AC1123" s="68"/>
      <c r="AD1123" s="68"/>
      <c r="AE1123" s="80"/>
      <c r="AF1123" s="80"/>
      <c r="AG1123" s="80"/>
      <c r="AH1123" s="80"/>
      <c r="AI1123" s="81" t="s">
        <v>377</v>
      </c>
      <c r="AJ1123" s="81" t="s">
        <v>83</v>
      </c>
      <c r="AK1123" s="81">
        <v>1995</v>
      </c>
      <c r="AL1123" s="81" t="s">
        <v>362</v>
      </c>
      <c r="AM1123" s="81"/>
    </row>
    <row r="1124" spans="1:39" s="82" customFormat="1" x14ac:dyDescent="0.3">
      <c r="A1124" s="67">
        <v>169</v>
      </c>
      <c r="B1124" s="68"/>
      <c r="C1124" s="68"/>
      <c r="D1124" s="68">
        <v>0</v>
      </c>
      <c r="E1124" s="68"/>
      <c r="F1124" s="68">
        <v>3</v>
      </c>
      <c r="G1124" s="69">
        <v>5.8</v>
      </c>
      <c r="H1124" s="68">
        <v>0</v>
      </c>
      <c r="I1124" s="69">
        <v>4.8</v>
      </c>
      <c r="J1124" s="69">
        <v>7.6</v>
      </c>
      <c r="K1124" s="70">
        <v>3</v>
      </c>
      <c r="L1124" s="68">
        <v>147</v>
      </c>
      <c r="M1124" s="71"/>
      <c r="N1124" s="72">
        <v>5.8</v>
      </c>
      <c r="O1124" s="84">
        <v>147</v>
      </c>
      <c r="P1124" s="73"/>
      <c r="Q1124" s="84">
        <v>1</v>
      </c>
      <c r="R1124" s="73"/>
      <c r="S1124" s="74"/>
      <c r="T1124" s="75">
        <v>8.1</v>
      </c>
      <c r="U1124" s="75">
        <v>4.8</v>
      </c>
      <c r="V1124" s="76"/>
      <c r="W1124" s="76">
        <v>0.73</v>
      </c>
      <c r="X1124" s="77">
        <v>175</v>
      </c>
      <c r="Y1124" s="78"/>
      <c r="Z1124" s="79"/>
      <c r="AA1124" s="69"/>
      <c r="AB1124" s="68"/>
      <c r="AC1124" s="68"/>
      <c r="AD1124" s="68"/>
      <c r="AE1124" s="80"/>
      <c r="AF1124" s="80"/>
      <c r="AG1124" s="80"/>
      <c r="AH1124" s="80"/>
      <c r="AI1124" s="81" t="s">
        <v>377</v>
      </c>
      <c r="AJ1124" s="81" t="s">
        <v>83</v>
      </c>
      <c r="AK1124" s="81">
        <v>1995</v>
      </c>
      <c r="AL1124" s="81" t="s">
        <v>84</v>
      </c>
      <c r="AM1124" s="81"/>
    </row>
    <row r="1125" spans="1:39" s="82" customFormat="1" x14ac:dyDescent="0.3">
      <c r="A1125" s="67">
        <v>176</v>
      </c>
      <c r="B1125" s="68"/>
      <c r="C1125" s="68"/>
      <c r="D1125" s="68">
        <v>0</v>
      </c>
      <c r="E1125" s="68"/>
      <c r="F1125" s="68">
        <v>0</v>
      </c>
      <c r="G1125" s="69">
        <v>5.5</v>
      </c>
      <c r="H1125" s="68">
        <v>0</v>
      </c>
      <c r="I1125" s="69">
        <v>3.8</v>
      </c>
      <c r="J1125" s="69">
        <v>6.3</v>
      </c>
      <c r="K1125" s="70">
        <v>3</v>
      </c>
      <c r="L1125" s="68">
        <v>0</v>
      </c>
      <c r="M1125" s="71"/>
      <c r="N1125" s="72">
        <v>5.5</v>
      </c>
      <c r="O1125" s="84">
        <v>0</v>
      </c>
      <c r="P1125" s="73"/>
      <c r="Q1125" s="84">
        <v>1</v>
      </c>
      <c r="R1125" s="73">
        <v>3.8</v>
      </c>
      <c r="S1125" s="74">
        <v>6.3</v>
      </c>
      <c r="T1125" s="75"/>
      <c r="U1125" s="75"/>
      <c r="V1125" s="76"/>
      <c r="W1125" s="76">
        <v>0.13</v>
      </c>
      <c r="X1125" s="77">
        <v>42</v>
      </c>
      <c r="Y1125" s="78"/>
      <c r="Z1125" s="79"/>
      <c r="AA1125" s="69"/>
      <c r="AB1125" s="68"/>
      <c r="AC1125" s="68"/>
      <c r="AD1125" s="68"/>
      <c r="AE1125" s="80"/>
      <c r="AF1125" s="80"/>
      <c r="AG1125" s="80"/>
      <c r="AH1125" s="80"/>
      <c r="AI1125" s="81" t="s">
        <v>379</v>
      </c>
      <c r="AJ1125" s="81" t="s">
        <v>83</v>
      </c>
      <c r="AK1125" s="81">
        <v>1995</v>
      </c>
      <c r="AL1125" s="81" t="s">
        <v>362</v>
      </c>
      <c r="AM1125" s="81"/>
    </row>
    <row r="1126" spans="1:39" s="82" customFormat="1" x14ac:dyDescent="0.3">
      <c r="A1126" s="67">
        <v>176</v>
      </c>
      <c r="B1126" s="68"/>
      <c r="C1126" s="68"/>
      <c r="D1126" s="68">
        <v>0</v>
      </c>
      <c r="E1126" s="68"/>
      <c r="F1126" s="68">
        <v>1</v>
      </c>
      <c r="G1126" s="69">
        <v>5.5</v>
      </c>
      <c r="H1126" s="68">
        <v>0</v>
      </c>
      <c r="I1126" s="69">
        <v>3.8</v>
      </c>
      <c r="J1126" s="69">
        <v>6.3</v>
      </c>
      <c r="K1126" s="70">
        <v>3</v>
      </c>
      <c r="L1126" s="68">
        <v>42</v>
      </c>
      <c r="M1126" s="71"/>
      <c r="N1126" s="72">
        <v>5.5</v>
      </c>
      <c r="O1126" s="84">
        <v>42</v>
      </c>
      <c r="P1126" s="73">
        <v>0.13</v>
      </c>
      <c r="Q1126" s="84">
        <v>1</v>
      </c>
      <c r="R1126" s="74"/>
      <c r="S1126" s="74"/>
      <c r="T1126" s="75"/>
      <c r="U1126" s="75"/>
      <c r="V1126" s="76"/>
      <c r="W1126" s="76">
        <v>0.39</v>
      </c>
      <c r="X1126" s="77">
        <v>70</v>
      </c>
      <c r="Y1126" s="78"/>
      <c r="Z1126" s="79"/>
      <c r="AA1126" s="69"/>
      <c r="AB1126" s="68"/>
      <c r="AC1126" s="68"/>
      <c r="AD1126" s="68"/>
      <c r="AE1126" s="80"/>
      <c r="AF1126" s="80"/>
      <c r="AG1126" s="80"/>
      <c r="AH1126" s="80"/>
      <c r="AI1126" s="81" t="s">
        <v>379</v>
      </c>
      <c r="AJ1126" s="81" t="s">
        <v>83</v>
      </c>
      <c r="AK1126" s="81">
        <v>1995</v>
      </c>
      <c r="AL1126" s="81" t="s">
        <v>362</v>
      </c>
      <c r="AM1126" s="81"/>
    </row>
    <row r="1127" spans="1:39" s="82" customFormat="1" x14ac:dyDescent="0.3">
      <c r="A1127" s="67">
        <v>159</v>
      </c>
      <c r="B1127" s="68"/>
      <c r="C1127" s="68"/>
      <c r="D1127" s="68">
        <v>0</v>
      </c>
      <c r="E1127" s="68"/>
      <c r="F1127" s="68">
        <v>1</v>
      </c>
      <c r="G1127" s="69">
        <v>5.5</v>
      </c>
      <c r="H1127" s="68">
        <v>0</v>
      </c>
      <c r="I1127" s="69">
        <v>4.8</v>
      </c>
      <c r="J1127" s="69">
        <v>7.6</v>
      </c>
      <c r="K1127" s="70">
        <v>3</v>
      </c>
      <c r="L1127" s="68">
        <v>56</v>
      </c>
      <c r="M1127" s="71"/>
      <c r="N1127" s="72">
        <v>5.5</v>
      </c>
      <c r="O1127" s="84">
        <v>56</v>
      </c>
      <c r="P1127" s="73"/>
      <c r="Q1127" s="84">
        <v>1</v>
      </c>
      <c r="R1127" s="74"/>
      <c r="S1127" s="74"/>
      <c r="T1127" s="75"/>
      <c r="U1127" s="75"/>
      <c r="V1127" s="76"/>
      <c r="W1127" s="76">
        <v>0.36</v>
      </c>
      <c r="X1127" s="77">
        <v>112</v>
      </c>
      <c r="Y1127" s="78"/>
      <c r="Z1127" s="79"/>
      <c r="AA1127" s="69"/>
      <c r="AB1127" s="68"/>
      <c r="AC1127" s="68"/>
      <c r="AD1127" s="68"/>
      <c r="AE1127" s="80"/>
      <c r="AF1127" s="80"/>
      <c r="AG1127" s="80"/>
      <c r="AH1127" s="80"/>
      <c r="AI1127" s="81" t="s">
        <v>379</v>
      </c>
      <c r="AJ1127" s="81" t="s">
        <v>83</v>
      </c>
      <c r="AK1127" s="81">
        <v>1995</v>
      </c>
      <c r="AL1127" s="81" t="s">
        <v>84</v>
      </c>
      <c r="AM1127" s="81"/>
    </row>
    <row r="1128" spans="1:39" s="82" customFormat="1" x14ac:dyDescent="0.3">
      <c r="A1128" s="67">
        <v>176</v>
      </c>
      <c r="B1128" s="68"/>
      <c r="C1128" s="68"/>
      <c r="D1128" s="68">
        <v>0</v>
      </c>
      <c r="E1128" s="68"/>
      <c r="F1128" s="68">
        <v>2</v>
      </c>
      <c r="G1128" s="69">
        <v>5.5</v>
      </c>
      <c r="H1128" s="68">
        <v>0</v>
      </c>
      <c r="I1128" s="69">
        <v>3.8</v>
      </c>
      <c r="J1128" s="69">
        <v>6.3</v>
      </c>
      <c r="K1128" s="70">
        <v>3</v>
      </c>
      <c r="L1128" s="68">
        <v>70</v>
      </c>
      <c r="M1128" s="71"/>
      <c r="N1128" s="72">
        <v>5.5</v>
      </c>
      <c r="O1128" s="84">
        <v>70</v>
      </c>
      <c r="P1128" s="73">
        <v>0.39</v>
      </c>
      <c r="Q1128" s="84">
        <v>1</v>
      </c>
      <c r="R1128" s="74"/>
      <c r="S1128" s="74"/>
      <c r="T1128" s="75"/>
      <c r="U1128" s="75"/>
      <c r="V1128" s="76"/>
      <c r="W1128" s="76">
        <v>0.53</v>
      </c>
      <c r="X1128" s="77">
        <v>98</v>
      </c>
      <c r="Y1128" s="78"/>
      <c r="Z1128" s="79"/>
      <c r="AA1128" s="69"/>
      <c r="AB1128" s="68"/>
      <c r="AC1128" s="68"/>
      <c r="AD1128" s="68"/>
      <c r="AE1128" s="80"/>
      <c r="AF1128" s="80"/>
      <c r="AG1128" s="80"/>
      <c r="AH1128" s="80"/>
      <c r="AI1128" s="81" t="s">
        <v>379</v>
      </c>
      <c r="AJ1128" s="81" t="s">
        <v>83</v>
      </c>
      <c r="AK1128" s="81">
        <v>1995</v>
      </c>
      <c r="AL1128" s="81" t="s">
        <v>362</v>
      </c>
      <c r="AM1128" s="81"/>
    </row>
    <row r="1129" spans="1:39" s="82" customFormat="1" x14ac:dyDescent="0.3">
      <c r="A1129" s="67">
        <v>176</v>
      </c>
      <c r="B1129" s="68"/>
      <c r="C1129" s="68"/>
      <c r="D1129" s="68">
        <v>0</v>
      </c>
      <c r="E1129" s="68"/>
      <c r="F1129" s="68">
        <v>3</v>
      </c>
      <c r="G1129" s="69">
        <v>5.5</v>
      </c>
      <c r="H1129" s="68">
        <v>0</v>
      </c>
      <c r="I1129" s="69">
        <v>3.8</v>
      </c>
      <c r="J1129" s="69">
        <v>6.3</v>
      </c>
      <c r="K1129" s="70">
        <v>3</v>
      </c>
      <c r="L1129" s="68">
        <v>98</v>
      </c>
      <c r="M1129" s="71"/>
      <c r="N1129" s="72">
        <v>5.5</v>
      </c>
      <c r="O1129" s="84">
        <v>98</v>
      </c>
      <c r="P1129" s="73">
        <v>0.53</v>
      </c>
      <c r="Q1129" s="84">
        <v>1</v>
      </c>
      <c r="R1129" s="74"/>
      <c r="S1129" s="74"/>
      <c r="T1129" s="75">
        <v>7.4</v>
      </c>
      <c r="U1129" s="75">
        <v>12</v>
      </c>
      <c r="V1129" s="76"/>
      <c r="W1129" s="76">
        <v>0.63</v>
      </c>
      <c r="X1129" s="77">
        <v>126</v>
      </c>
      <c r="Y1129" s="78"/>
      <c r="Z1129" s="79"/>
      <c r="AA1129" s="69"/>
      <c r="AB1129" s="68"/>
      <c r="AC1129" s="68"/>
      <c r="AD1129" s="68"/>
      <c r="AE1129" s="80"/>
      <c r="AF1129" s="80"/>
      <c r="AG1129" s="80"/>
      <c r="AH1129" s="80"/>
      <c r="AI1129" s="81" t="s">
        <v>379</v>
      </c>
      <c r="AJ1129" s="81" t="s">
        <v>83</v>
      </c>
      <c r="AK1129" s="81">
        <v>1995</v>
      </c>
      <c r="AL1129" s="81" t="s">
        <v>362</v>
      </c>
      <c r="AM1129" s="81"/>
    </row>
    <row r="1130" spans="1:39" s="82" customFormat="1" x14ac:dyDescent="0.3">
      <c r="A1130" s="67">
        <v>159</v>
      </c>
      <c r="B1130" s="68"/>
      <c r="C1130" s="68"/>
      <c r="D1130" s="68">
        <v>0</v>
      </c>
      <c r="E1130" s="68"/>
      <c r="F1130" s="68">
        <v>3</v>
      </c>
      <c r="G1130" s="69">
        <v>5.5</v>
      </c>
      <c r="H1130" s="68">
        <v>0</v>
      </c>
      <c r="I1130" s="69">
        <v>4.8</v>
      </c>
      <c r="J1130" s="69">
        <v>7.6</v>
      </c>
      <c r="K1130" s="70">
        <v>3</v>
      </c>
      <c r="L1130" s="68">
        <v>147</v>
      </c>
      <c r="M1130" s="71"/>
      <c r="N1130" s="72">
        <v>5.5</v>
      </c>
      <c r="O1130" s="84">
        <v>147</v>
      </c>
      <c r="P1130" s="73"/>
      <c r="Q1130" s="84">
        <v>1</v>
      </c>
      <c r="R1130" s="74"/>
      <c r="S1130" s="74"/>
      <c r="T1130" s="75">
        <v>7.8</v>
      </c>
      <c r="U1130" s="75">
        <v>7.4</v>
      </c>
      <c r="V1130" s="76"/>
      <c r="W1130" s="76">
        <v>0.7</v>
      </c>
      <c r="X1130" s="77">
        <v>175</v>
      </c>
      <c r="Y1130" s="78"/>
      <c r="Z1130" s="79"/>
      <c r="AA1130" s="69"/>
      <c r="AB1130" s="68"/>
      <c r="AC1130" s="68"/>
      <c r="AD1130" s="68"/>
      <c r="AE1130" s="80"/>
      <c r="AF1130" s="80"/>
      <c r="AG1130" s="80"/>
      <c r="AH1130" s="80"/>
      <c r="AI1130" s="81" t="s">
        <v>379</v>
      </c>
      <c r="AJ1130" s="81" t="s">
        <v>83</v>
      </c>
      <c r="AK1130" s="81">
        <v>1995</v>
      </c>
      <c r="AL1130" s="81" t="s">
        <v>84</v>
      </c>
      <c r="AM1130" s="81"/>
    </row>
    <row r="1131" spans="1:39" s="82" customFormat="1" x14ac:dyDescent="0.3">
      <c r="A1131" s="67">
        <v>175</v>
      </c>
      <c r="B1131" s="68"/>
      <c r="C1131" s="68"/>
      <c r="D1131" s="68">
        <v>0</v>
      </c>
      <c r="E1131" s="68"/>
      <c r="F1131" s="68">
        <v>0</v>
      </c>
      <c r="G1131" s="69">
        <v>5.8</v>
      </c>
      <c r="H1131" s="68">
        <v>0</v>
      </c>
      <c r="I1131" s="69">
        <v>3.8</v>
      </c>
      <c r="J1131" s="69">
        <v>6.3</v>
      </c>
      <c r="K1131" s="70">
        <v>3</v>
      </c>
      <c r="L1131" s="68">
        <v>0</v>
      </c>
      <c r="M1131" s="71"/>
      <c r="N1131" s="72">
        <v>5.8</v>
      </c>
      <c r="O1131" s="84">
        <v>0</v>
      </c>
      <c r="P1131" s="73"/>
      <c r="Q1131" s="84">
        <v>1</v>
      </c>
      <c r="R1131" s="73">
        <v>3.8</v>
      </c>
      <c r="S1131" s="74">
        <v>6.3</v>
      </c>
      <c r="T1131" s="75"/>
      <c r="U1131" s="75"/>
      <c r="V1131" s="76"/>
      <c r="W1131" s="76">
        <v>0.13</v>
      </c>
      <c r="X1131" s="77">
        <v>42</v>
      </c>
      <c r="Y1131" s="78"/>
      <c r="Z1131" s="79"/>
      <c r="AA1131" s="69"/>
      <c r="AB1131" s="68"/>
      <c r="AC1131" s="68"/>
      <c r="AD1131" s="68"/>
      <c r="AE1131" s="80"/>
      <c r="AF1131" s="80"/>
      <c r="AG1131" s="80"/>
      <c r="AH1131" s="80"/>
      <c r="AI1131" s="81" t="s">
        <v>378</v>
      </c>
      <c r="AJ1131" s="81" t="s">
        <v>83</v>
      </c>
      <c r="AK1131" s="81">
        <v>1995</v>
      </c>
      <c r="AL1131" s="81" t="s">
        <v>362</v>
      </c>
      <c r="AM1131" s="81"/>
    </row>
    <row r="1132" spans="1:39" x14ac:dyDescent="0.3">
      <c r="A1132" s="1">
        <v>175</v>
      </c>
      <c r="D1132" s="2">
        <v>0</v>
      </c>
      <c r="F1132" s="2">
        <v>1</v>
      </c>
      <c r="G1132" s="3">
        <v>5.8</v>
      </c>
      <c r="H1132" s="2">
        <v>0</v>
      </c>
      <c r="I1132" s="3">
        <v>3.8</v>
      </c>
      <c r="J1132" s="3">
        <v>6.3</v>
      </c>
      <c r="K1132" s="4">
        <v>3</v>
      </c>
      <c r="L1132" s="2">
        <v>42</v>
      </c>
      <c r="N1132" s="6">
        <v>5.8</v>
      </c>
      <c r="O1132" s="17">
        <v>42</v>
      </c>
      <c r="P1132" s="7">
        <v>0.13</v>
      </c>
      <c r="Q1132" s="84">
        <v>1</v>
      </c>
      <c r="R1132" s="73"/>
      <c r="W1132" s="10">
        <v>0.38</v>
      </c>
      <c r="X1132" s="11">
        <v>70</v>
      </c>
      <c r="AI1132" s="81" t="s">
        <v>378</v>
      </c>
      <c r="AJ1132" s="81" t="s">
        <v>83</v>
      </c>
      <c r="AK1132" s="15">
        <v>1995</v>
      </c>
      <c r="AL1132" s="81" t="s">
        <v>362</v>
      </c>
    </row>
    <row r="1133" spans="1:39" x14ac:dyDescent="0.3">
      <c r="A1133" s="67">
        <v>190</v>
      </c>
      <c r="D1133" s="2">
        <v>0</v>
      </c>
      <c r="F1133" s="2">
        <v>1</v>
      </c>
      <c r="G1133" s="3">
        <v>5.8</v>
      </c>
      <c r="H1133" s="2">
        <v>0</v>
      </c>
      <c r="I1133" s="69">
        <v>4.8</v>
      </c>
      <c r="J1133" s="69">
        <v>7.6</v>
      </c>
      <c r="K1133" s="4">
        <v>3</v>
      </c>
      <c r="L1133" s="2">
        <v>56</v>
      </c>
      <c r="N1133" s="6">
        <v>5.8</v>
      </c>
      <c r="O1133" s="17">
        <v>56</v>
      </c>
      <c r="Q1133" s="84">
        <v>1</v>
      </c>
      <c r="R1133" s="73"/>
      <c r="W1133" s="10">
        <v>0.46</v>
      </c>
      <c r="X1133" s="11">
        <v>112</v>
      </c>
      <c r="AI1133" s="81" t="s">
        <v>378</v>
      </c>
      <c r="AJ1133" s="81" t="s">
        <v>83</v>
      </c>
      <c r="AK1133" s="81">
        <v>1995</v>
      </c>
      <c r="AL1133" s="81" t="s">
        <v>84</v>
      </c>
    </row>
    <row r="1134" spans="1:39" x14ac:dyDescent="0.3">
      <c r="A1134" s="67">
        <v>175</v>
      </c>
      <c r="D1134" s="2">
        <v>0</v>
      </c>
      <c r="F1134" s="2">
        <v>2</v>
      </c>
      <c r="G1134" s="3">
        <v>5.8</v>
      </c>
      <c r="H1134" s="2">
        <v>0</v>
      </c>
      <c r="I1134" s="69">
        <v>3.8</v>
      </c>
      <c r="J1134" s="69">
        <v>6.3</v>
      </c>
      <c r="K1134" s="4">
        <v>3</v>
      </c>
      <c r="L1134" s="2">
        <v>70</v>
      </c>
      <c r="N1134" s="6">
        <v>5.8</v>
      </c>
      <c r="O1134" s="17">
        <v>70</v>
      </c>
      <c r="P1134" s="7">
        <v>0.38</v>
      </c>
      <c r="Q1134" s="84">
        <v>1</v>
      </c>
      <c r="R1134" s="73"/>
      <c r="W1134" s="10">
        <v>0.55000000000000004</v>
      </c>
      <c r="X1134" s="11">
        <v>98</v>
      </c>
      <c r="AI1134" s="81" t="s">
        <v>378</v>
      </c>
      <c r="AJ1134" s="81" t="s">
        <v>83</v>
      </c>
      <c r="AK1134" s="81">
        <v>1995</v>
      </c>
      <c r="AL1134" s="81" t="s">
        <v>362</v>
      </c>
    </row>
    <row r="1135" spans="1:39" x14ac:dyDescent="0.3">
      <c r="A1135" s="67">
        <v>175</v>
      </c>
      <c r="D1135" s="2">
        <v>0</v>
      </c>
      <c r="F1135" s="2">
        <v>3</v>
      </c>
      <c r="G1135" s="3">
        <v>5.8</v>
      </c>
      <c r="H1135" s="2">
        <v>0</v>
      </c>
      <c r="I1135" s="69">
        <v>3.8</v>
      </c>
      <c r="J1135" s="69">
        <v>6.3</v>
      </c>
      <c r="K1135" s="4">
        <v>3</v>
      </c>
      <c r="L1135" s="2">
        <v>98</v>
      </c>
      <c r="N1135" s="6">
        <v>5.8</v>
      </c>
      <c r="O1135" s="17">
        <v>98</v>
      </c>
      <c r="P1135" s="7">
        <v>0.55000000000000004</v>
      </c>
      <c r="Q1135" s="84">
        <v>1</v>
      </c>
      <c r="R1135" s="73"/>
      <c r="T1135" s="9">
        <v>7.7</v>
      </c>
      <c r="U1135" s="9">
        <v>8.8000000000000007</v>
      </c>
      <c r="W1135" s="10">
        <v>0.66</v>
      </c>
      <c r="X1135" s="11">
        <v>126</v>
      </c>
      <c r="AI1135" s="81" t="s">
        <v>378</v>
      </c>
      <c r="AJ1135" s="81" t="s">
        <v>83</v>
      </c>
      <c r="AK1135" s="81">
        <v>1995</v>
      </c>
      <c r="AL1135" s="81" t="s">
        <v>362</v>
      </c>
    </row>
    <row r="1136" spans="1:39" x14ac:dyDescent="0.3">
      <c r="A1136" s="67">
        <v>190</v>
      </c>
      <c r="D1136" s="2">
        <v>0</v>
      </c>
      <c r="F1136" s="2">
        <v>3</v>
      </c>
      <c r="G1136" s="3">
        <v>5.8</v>
      </c>
      <c r="H1136" s="2">
        <v>0</v>
      </c>
      <c r="I1136" s="69">
        <v>4.8</v>
      </c>
      <c r="J1136" s="69">
        <v>7.6</v>
      </c>
      <c r="K1136" s="4">
        <v>3</v>
      </c>
      <c r="L1136" s="2">
        <v>147</v>
      </c>
      <c r="N1136" s="6">
        <v>5.8</v>
      </c>
      <c r="O1136" s="17">
        <v>147</v>
      </c>
      <c r="Q1136" s="84">
        <v>1</v>
      </c>
      <c r="R1136" s="73"/>
      <c r="S1136" s="74"/>
      <c r="T1136" s="9">
        <v>8</v>
      </c>
      <c r="U1136" s="9">
        <v>7.6</v>
      </c>
      <c r="W1136" s="10">
        <v>0.73</v>
      </c>
      <c r="X1136" s="11">
        <v>175</v>
      </c>
      <c r="AI1136" s="81" t="s">
        <v>378</v>
      </c>
      <c r="AJ1136" s="81" t="s">
        <v>83</v>
      </c>
      <c r="AK1136" s="81">
        <v>1995</v>
      </c>
      <c r="AL1136" s="81" t="s">
        <v>84</v>
      </c>
    </row>
    <row r="1137" spans="1:39" x14ac:dyDescent="0.3">
      <c r="A1137" s="67">
        <v>195</v>
      </c>
      <c r="D1137" s="68">
        <v>0</v>
      </c>
      <c r="E1137" s="68"/>
      <c r="F1137" s="68">
        <v>0</v>
      </c>
      <c r="G1137" s="3">
        <v>5.8</v>
      </c>
      <c r="H1137" s="2">
        <v>0</v>
      </c>
      <c r="I1137" s="3">
        <v>3.8</v>
      </c>
      <c r="J1137" s="3">
        <v>6.3</v>
      </c>
      <c r="K1137" s="4">
        <v>3</v>
      </c>
      <c r="L1137" s="68">
        <v>0</v>
      </c>
      <c r="N1137" s="6">
        <v>5.8</v>
      </c>
      <c r="O1137" s="84">
        <v>0</v>
      </c>
      <c r="Q1137" s="84">
        <v>1</v>
      </c>
      <c r="R1137" s="73">
        <v>3.8</v>
      </c>
      <c r="S1137" s="74">
        <v>6.3</v>
      </c>
      <c r="T1137" s="75"/>
      <c r="U1137" s="75"/>
      <c r="V1137" s="76"/>
      <c r="W1137" s="76">
        <v>0.14000000000000001</v>
      </c>
      <c r="X1137" s="77">
        <v>42</v>
      </c>
      <c r="AI1137" s="81" t="s">
        <v>376</v>
      </c>
      <c r="AJ1137" s="81" t="s">
        <v>83</v>
      </c>
      <c r="AK1137" s="81">
        <v>1995</v>
      </c>
      <c r="AL1137" s="81" t="s">
        <v>362</v>
      </c>
    </row>
    <row r="1138" spans="1:39" x14ac:dyDescent="0.3">
      <c r="A1138" s="67">
        <v>195</v>
      </c>
      <c r="D1138" s="68">
        <v>0</v>
      </c>
      <c r="E1138" s="68"/>
      <c r="F1138" s="68">
        <v>1</v>
      </c>
      <c r="G1138" s="3">
        <v>5.8</v>
      </c>
      <c r="H1138" s="68">
        <v>0</v>
      </c>
      <c r="I1138" s="69">
        <v>3.8</v>
      </c>
      <c r="J1138" s="69">
        <v>6.3</v>
      </c>
      <c r="K1138" s="4">
        <v>3</v>
      </c>
      <c r="L1138" s="68">
        <v>42</v>
      </c>
      <c r="N1138" s="6">
        <v>5.8</v>
      </c>
      <c r="O1138" s="84">
        <v>42</v>
      </c>
      <c r="P1138" s="7">
        <v>0.14000000000000001</v>
      </c>
      <c r="Q1138" s="84">
        <v>1</v>
      </c>
      <c r="R1138" s="73"/>
      <c r="S1138" s="74"/>
      <c r="W1138" s="10">
        <v>0.43</v>
      </c>
      <c r="X1138" s="11">
        <v>70</v>
      </c>
      <c r="AI1138" s="81" t="s">
        <v>376</v>
      </c>
      <c r="AJ1138" s="81" t="s">
        <v>83</v>
      </c>
      <c r="AK1138" s="81">
        <v>1995</v>
      </c>
      <c r="AL1138" s="81" t="s">
        <v>362</v>
      </c>
    </row>
    <row r="1139" spans="1:39" x14ac:dyDescent="0.3">
      <c r="A1139" s="67">
        <v>161</v>
      </c>
      <c r="D1139" s="68">
        <v>0</v>
      </c>
      <c r="E1139" s="68"/>
      <c r="F1139" s="68">
        <v>1</v>
      </c>
      <c r="G1139" s="3">
        <v>5.8</v>
      </c>
      <c r="H1139" s="68">
        <v>0</v>
      </c>
      <c r="I1139" s="69">
        <v>4.8</v>
      </c>
      <c r="J1139" s="69">
        <v>7.6</v>
      </c>
      <c r="K1139" s="4">
        <v>3</v>
      </c>
      <c r="L1139" s="68">
        <v>56</v>
      </c>
      <c r="N1139" s="6">
        <v>5.8</v>
      </c>
      <c r="O1139" s="84">
        <v>56</v>
      </c>
      <c r="Q1139" s="84">
        <v>1</v>
      </c>
      <c r="R1139" s="73"/>
      <c r="S1139" s="74"/>
      <c r="W1139" s="10">
        <v>0.45</v>
      </c>
      <c r="X1139" s="11">
        <v>112</v>
      </c>
      <c r="AI1139" s="81" t="s">
        <v>376</v>
      </c>
      <c r="AJ1139" s="81" t="s">
        <v>83</v>
      </c>
      <c r="AK1139" s="81">
        <v>1995</v>
      </c>
      <c r="AL1139" s="81" t="s">
        <v>84</v>
      </c>
    </row>
    <row r="1140" spans="1:39" x14ac:dyDescent="0.3">
      <c r="A1140" s="67">
        <v>195</v>
      </c>
      <c r="D1140" s="68">
        <v>0</v>
      </c>
      <c r="E1140" s="68"/>
      <c r="F1140" s="68">
        <v>2</v>
      </c>
      <c r="G1140" s="3">
        <v>5.8</v>
      </c>
      <c r="H1140" s="68">
        <v>0</v>
      </c>
      <c r="I1140" s="69">
        <v>3.8</v>
      </c>
      <c r="J1140" s="69">
        <v>6.3</v>
      </c>
      <c r="K1140" s="4">
        <v>3</v>
      </c>
      <c r="L1140" s="68">
        <v>70</v>
      </c>
      <c r="N1140" s="6">
        <v>5.8</v>
      </c>
      <c r="O1140" s="84">
        <v>70</v>
      </c>
      <c r="P1140" s="7">
        <v>0.43</v>
      </c>
      <c r="Q1140" s="84">
        <v>1</v>
      </c>
      <c r="R1140" s="73"/>
      <c r="S1140" s="74"/>
      <c r="W1140" s="10">
        <v>0.56000000000000005</v>
      </c>
      <c r="X1140" s="11">
        <v>98</v>
      </c>
      <c r="AI1140" s="81" t="s">
        <v>376</v>
      </c>
      <c r="AJ1140" s="81" t="s">
        <v>83</v>
      </c>
      <c r="AK1140" s="81">
        <v>1995</v>
      </c>
      <c r="AL1140" s="81" t="s">
        <v>362</v>
      </c>
    </row>
    <row r="1141" spans="1:39" x14ac:dyDescent="0.3">
      <c r="A1141" s="67">
        <v>195</v>
      </c>
      <c r="D1141" s="68">
        <v>0</v>
      </c>
      <c r="E1141" s="68"/>
      <c r="F1141" s="68">
        <v>3</v>
      </c>
      <c r="G1141" s="3">
        <v>5.8</v>
      </c>
      <c r="H1141" s="68">
        <v>0</v>
      </c>
      <c r="I1141" s="69">
        <v>3.8</v>
      </c>
      <c r="J1141" s="69">
        <v>6.3</v>
      </c>
      <c r="K1141" s="4">
        <v>3</v>
      </c>
      <c r="L1141" s="68">
        <v>98</v>
      </c>
      <c r="N1141" s="6">
        <v>5.8</v>
      </c>
      <c r="O1141" s="84">
        <v>98</v>
      </c>
      <c r="P1141" s="7">
        <v>0.56000000000000005</v>
      </c>
      <c r="Q1141" s="84">
        <v>1</v>
      </c>
      <c r="R1141" s="73"/>
      <c r="S1141" s="74"/>
      <c r="T1141" s="9">
        <v>7.9</v>
      </c>
      <c r="U1141" s="9">
        <v>6.9</v>
      </c>
      <c r="W1141" s="10">
        <v>0.64</v>
      </c>
      <c r="X1141" s="11">
        <v>126</v>
      </c>
      <c r="AI1141" s="81" t="s">
        <v>376</v>
      </c>
      <c r="AJ1141" s="81" t="s">
        <v>83</v>
      </c>
      <c r="AK1141" s="81">
        <v>1995</v>
      </c>
      <c r="AL1141" s="81" t="s">
        <v>362</v>
      </c>
    </row>
    <row r="1142" spans="1:39" x14ac:dyDescent="0.3">
      <c r="A1142" s="67">
        <v>161</v>
      </c>
      <c r="D1142" s="68">
        <v>0</v>
      </c>
      <c r="E1142" s="68"/>
      <c r="F1142" s="68">
        <v>3</v>
      </c>
      <c r="G1142" s="3">
        <v>5.8</v>
      </c>
      <c r="H1142" s="2">
        <v>0</v>
      </c>
      <c r="I1142" s="3">
        <v>4.8</v>
      </c>
      <c r="J1142" s="3">
        <v>7.6</v>
      </c>
      <c r="K1142" s="4">
        <v>3</v>
      </c>
      <c r="L1142" s="68">
        <v>147</v>
      </c>
      <c r="N1142" s="6">
        <v>5.8</v>
      </c>
      <c r="O1142" s="84">
        <v>147</v>
      </c>
      <c r="Q1142" s="84">
        <v>1</v>
      </c>
      <c r="R1142" s="73"/>
      <c r="S1142" s="74"/>
      <c r="T1142" s="75">
        <v>8</v>
      </c>
      <c r="U1142" s="75">
        <v>4.4000000000000004</v>
      </c>
      <c r="V1142" s="76"/>
      <c r="W1142" s="76">
        <v>0.71</v>
      </c>
      <c r="X1142" s="77">
        <v>175</v>
      </c>
      <c r="AI1142" s="81" t="s">
        <v>376</v>
      </c>
      <c r="AJ1142" s="81" t="s">
        <v>83</v>
      </c>
      <c r="AK1142" s="81">
        <v>1995</v>
      </c>
      <c r="AL1142" s="81" t="s">
        <v>84</v>
      </c>
    </row>
    <row r="1143" spans="1:39" x14ac:dyDescent="0.3">
      <c r="A1143" s="67">
        <v>0</v>
      </c>
      <c r="D1143" s="68">
        <v>0</v>
      </c>
      <c r="E1143" s="68"/>
      <c r="F1143" s="68">
        <v>3</v>
      </c>
      <c r="G1143" s="3">
        <v>5.8</v>
      </c>
      <c r="H1143" s="68">
        <v>0</v>
      </c>
      <c r="I1143" s="69"/>
      <c r="J1143" s="69"/>
      <c r="K1143" s="4">
        <v>3</v>
      </c>
      <c r="L1143" s="68">
        <v>98</v>
      </c>
      <c r="N1143" s="6">
        <v>5.8</v>
      </c>
      <c r="O1143" s="84"/>
      <c r="Q1143" s="84">
        <v>1</v>
      </c>
      <c r="R1143" s="74"/>
      <c r="S1143" s="74"/>
      <c r="W1143" s="10">
        <v>0.7</v>
      </c>
      <c r="X1143" s="11">
        <v>126</v>
      </c>
      <c r="AI1143" s="81" t="s">
        <v>366</v>
      </c>
      <c r="AJ1143" s="81" t="s">
        <v>83</v>
      </c>
      <c r="AK1143" s="81">
        <v>1995</v>
      </c>
      <c r="AL1143" s="81" t="s">
        <v>362</v>
      </c>
      <c r="AM1143" s="15" t="s">
        <v>375</v>
      </c>
    </row>
    <row r="1144" spans="1:39" x14ac:dyDescent="0.3">
      <c r="A1144" s="67">
        <v>0</v>
      </c>
      <c r="D1144" s="68">
        <v>0</v>
      </c>
      <c r="E1144" s="68"/>
      <c r="F1144" s="68">
        <v>3</v>
      </c>
      <c r="G1144" s="3">
        <v>5.8</v>
      </c>
      <c r="H1144" s="68">
        <v>0</v>
      </c>
      <c r="I1144" s="69"/>
      <c r="J1144" s="69"/>
      <c r="K1144" s="4">
        <v>3</v>
      </c>
      <c r="L1144" s="68">
        <v>147</v>
      </c>
      <c r="N1144" s="6">
        <v>5.8</v>
      </c>
      <c r="O1144" s="84"/>
      <c r="Q1144" s="84">
        <v>1</v>
      </c>
      <c r="R1144" s="74"/>
      <c r="S1144" s="74"/>
      <c r="W1144" s="10">
        <v>0.77</v>
      </c>
      <c r="X1144" s="11">
        <v>175</v>
      </c>
      <c r="AI1144" s="81" t="s">
        <v>366</v>
      </c>
      <c r="AJ1144" s="81" t="s">
        <v>83</v>
      </c>
      <c r="AK1144" s="81">
        <v>1995</v>
      </c>
      <c r="AL1144" s="81" t="s">
        <v>84</v>
      </c>
      <c r="AM1144" s="15" t="s">
        <v>375</v>
      </c>
    </row>
    <row r="1145" spans="1:39" x14ac:dyDescent="0.3">
      <c r="A1145" s="67">
        <v>0</v>
      </c>
      <c r="D1145" s="68">
        <v>0</v>
      </c>
      <c r="E1145" s="68"/>
      <c r="F1145" s="68">
        <v>3</v>
      </c>
      <c r="G1145" s="3">
        <v>5.5</v>
      </c>
      <c r="H1145" s="68">
        <v>0</v>
      </c>
      <c r="I1145" s="69"/>
      <c r="J1145" s="69"/>
      <c r="K1145" s="4">
        <v>3</v>
      </c>
      <c r="L1145" s="68">
        <v>98</v>
      </c>
      <c r="N1145" s="6">
        <v>5.5</v>
      </c>
      <c r="O1145" s="84"/>
      <c r="Q1145" s="84">
        <v>1</v>
      </c>
      <c r="W1145" s="10">
        <v>0.7</v>
      </c>
      <c r="X1145" s="11">
        <v>126</v>
      </c>
      <c r="AI1145" s="81" t="s">
        <v>372</v>
      </c>
      <c r="AJ1145" s="81" t="s">
        <v>83</v>
      </c>
      <c r="AK1145" s="81">
        <v>1995</v>
      </c>
      <c r="AL1145" s="81" t="s">
        <v>362</v>
      </c>
      <c r="AM1145" s="15" t="s">
        <v>375</v>
      </c>
    </row>
    <row r="1146" spans="1:39" x14ac:dyDescent="0.3">
      <c r="A1146" s="67">
        <v>0</v>
      </c>
      <c r="D1146" s="68">
        <v>0</v>
      </c>
      <c r="E1146" s="68"/>
      <c r="F1146" s="68">
        <v>3</v>
      </c>
      <c r="G1146" s="3">
        <v>5.5</v>
      </c>
      <c r="H1146" s="68">
        <v>0</v>
      </c>
      <c r="I1146" s="69"/>
      <c r="J1146" s="69"/>
      <c r="K1146" s="4">
        <v>3</v>
      </c>
      <c r="L1146" s="68">
        <v>147</v>
      </c>
      <c r="N1146" s="6">
        <v>5.5</v>
      </c>
      <c r="O1146" s="84"/>
      <c r="Q1146" s="84">
        <v>1</v>
      </c>
      <c r="R1146" s="74"/>
      <c r="S1146" s="74"/>
      <c r="W1146" s="10">
        <v>0.77</v>
      </c>
      <c r="X1146" s="11">
        <v>175</v>
      </c>
      <c r="AI1146" s="81" t="s">
        <v>372</v>
      </c>
      <c r="AJ1146" s="81" t="s">
        <v>83</v>
      </c>
      <c r="AK1146" s="81">
        <v>1995</v>
      </c>
      <c r="AL1146" s="81" t="s">
        <v>84</v>
      </c>
      <c r="AM1146" s="15" t="s">
        <v>375</v>
      </c>
    </row>
    <row r="1147" spans="1:39" s="82" customFormat="1" x14ac:dyDescent="0.3">
      <c r="A1147" s="67">
        <v>0</v>
      </c>
      <c r="B1147" s="68"/>
      <c r="C1147" s="68"/>
      <c r="D1147" s="68">
        <v>0</v>
      </c>
      <c r="E1147" s="68"/>
      <c r="F1147" s="68">
        <v>3</v>
      </c>
      <c r="G1147" s="69">
        <v>5.8</v>
      </c>
      <c r="H1147" s="68">
        <v>0</v>
      </c>
      <c r="I1147" s="69"/>
      <c r="J1147" s="69"/>
      <c r="K1147" s="70">
        <v>3</v>
      </c>
      <c r="L1147" s="68">
        <v>98</v>
      </c>
      <c r="M1147" s="71"/>
      <c r="N1147" s="72">
        <v>5.8</v>
      </c>
      <c r="O1147" s="84"/>
      <c r="P1147" s="73"/>
      <c r="Q1147" s="84">
        <v>1</v>
      </c>
      <c r="R1147" s="74"/>
      <c r="S1147" s="74"/>
      <c r="T1147" s="75"/>
      <c r="U1147" s="75"/>
      <c r="V1147" s="76"/>
      <c r="W1147" s="76">
        <v>0.7</v>
      </c>
      <c r="X1147" s="77">
        <v>126</v>
      </c>
      <c r="Y1147" s="78"/>
      <c r="Z1147" s="79"/>
      <c r="AA1147" s="69"/>
      <c r="AB1147" s="68"/>
      <c r="AC1147" s="68"/>
      <c r="AD1147" s="68"/>
      <c r="AE1147" s="80"/>
      <c r="AF1147" s="80"/>
      <c r="AG1147" s="80"/>
      <c r="AH1147" s="80"/>
      <c r="AI1147" s="81" t="s">
        <v>369</v>
      </c>
      <c r="AJ1147" s="81" t="s">
        <v>83</v>
      </c>
      <c r="AK1147" s="81">
        <v>1995</v>
      </c>
      <c r="AL1147" s="81" t="s">
        <v>362</v>
      </c>
      <c r="AM1147" s="81" t="s">
        <v>375</v>
      </c>
    </row>
    <row r="1148" spans="1:39" s="82" customFormat="1" x14ac:dyDescent="0.3">
      <c r="A1148" s="67">
        <v>0</v>
      </c>
      <c r="B1148" s="68"/>
      <c r="C1148" s="68"/>
      <c r="D1148" s="68">
        <v>0</v>
      </c>
      <c r="E1148" s="68"/>
      <c r="F1148" s="68">
        <v>3</v>
      </c>
      <c r="G1148" s="69">
        <v>5.8</v>
      </c>
      <c r="H1148" s="68">
        <v>0</v>
      </c>
      <c r="I1148" s="69"/>
      <c r="J1148" s="69"/>
      <c r="K1148" s="70">
        <v>3</v>
      </c>
      <c r="L1148" s="68">
        <v>147</v>
      </c>
      <c r="M1148" s="71"/>
      <c r="N1148" s="72">
        <v>5.8</v>
      </c>
      <c r="O1148" s="84"/>
      <c r="P1148" s="73"/>
      <c r="Q1148" s="84">
        <v>1</v>
      </c>
      <c r="R1148" s="74"/>
      <c r="S1148" s="74"/>
      <c r="T1148" s="75"/>
      <c r="U1148" s="75"/>
      <c r="V1148" s="76"/>
      <c r="W1148" s="76">
        <v>0.77</v>
      </c>
      <c r="X1148" s="77">
        <v>175</v>
      </c>
      <c r="Y1148" s="78"/>
      <c r="Z1148" s="79"/>
      <c r="AA1148" s="69"/>
      <c r="AB1148" s="68"/>
      <c r="AC1148" s="68"/>
      <c r="AD1148" s="68"/>
      <c r="AE1148" s="80"/>
      <c r="AF1148" s="80"/>
      <c r="AG1148" s="80"/>
      <c r="AH1148" s="80"/>
      <c r="AI1148" s="81" t="s">
        <v>369</v>
      </c>
      <c r="AJ1148" s="81" t="s">
        <v>83</v>
      </c>
      <c r="AK1148" s="81">
        <v>1995</v>
      </c>
      <c r="AL1148" s="81" t="s">
        <v>84</v>
      </c>
      <c r="AM1148" s="81" t="s">
        <v>375</v>
      </c>
    </row>
    <row r="1149" spans="1:39" s="82" customFormat="1" x14ac:dyDescent="0.3">
      <c r="A1149" s="67">
        <v>0</v>
      </c>
      <c r="B1149" s="68"/>
      <c r="C1149" s="68"/>
      <c r="D1149" s="68">
        <v>0</v>
      </c>
      <c r="E1149" s="68"/>
      <c r="F1149" s="68">
        <v>3</v>
      </c>
      <c r="G1149" s="69">
        <v>5.8</v>
      </c>
      <c r="H1149" s="68">
        <v>0</v>
      </c>
      <c r="I1149" s="69"/>
      <c r="J1149" s="69"/>
      <c r="K1149" s="70">
        <v>3</v>
      </c>
      <c r="L1149" s="68">
        <v>98</v>
      </c>
      <c r="M1149" s="71"/>
      <c r="N1149" s="72">
        <v>5.8</v>
      </c>
      <c r="O1149" s="84"/>
      <c r="P1149" s="73"/>
      <c r="Q1149" s="84">
        <v>1</v>
      </c>
      <c r="R1149" s="74"/>
      <c r="S1149" s="74"/>
      <c r="T1149" s="75"/>
      <c r="U1149" s="75"/>
      <c r="V1149" s="76"/>
      <c r="W1149" s="76">
        <v>0.7</v>
      </c>
      <c r="X1149" s="77">
        <v>126</v>
      </c>
      <c r="Y1149" s="78"/>
      <c r="Z1149" s="79"/>
      <c r="AA1149" s="69"/>
      <c r="AB1149" s="68"/>
      <c r="AC1149" s="68"/>
      <c r="AD1149" s="68"/>
      <c r="AE1149" s="80"/>
      <c r="AF1149" s="80"/>
      <c r="AG1149" s="80"/>
      <c r="AH1149" s="80"/>
      <c r="AI1149" s="81" t="s">
        <v>363</v>
      </c>
      <c r="AJ1149" s="81" t="s">
        <v>83</v>
      </c>
      <c r="AK1149" s="81">
        <v>1995</v>
      </c>
      <c r="AL1149" s="81" t="s">
        <v>362</v>
      </c>
      <c r="AM1149" s="81" t="s">
        <v>375</v>
      </c>
    </row>
    <row r="1150" spans="1:39" s="82" customFormat="1" x14ac:dyDescent="0.3">
      <c r="A1150" s="67">
        <v>0</v>
      </c>
      <c r="B1150" s="68"/>
      <c r="C1150" s="68"/>
      <c r="D1150" s="68">
        <v>0</v>
      </c>
      <c r="E1150" s="68"/>
      <c r="F1150" s="68">
        <v>3</v>
      </c>
      <c r="G1150" s="69">
        <v>5.8</v>
      </c>
      <c r="H1150" s="68">
        <v>0</v>
      </c>
      <c r="I1150" s="69"/>
      <c r="J1150" s="69"/>
      <c r="K1150" s="70">
        <v>3</v>
      </c>
      <c r="L1150" s="68">
        <v>147</v>
      </c>
      <c r="M1150" s="71"/>
      <c r="N1150" s="72">
        <v>5.8</v>
      </c>
      <c r="O1150" s="84"/>
      <c r="P1150" s="73"/>
      <c r="Q1150" s="84">
        <v>1</v>
      </c>
      <c r="R1150" s="74"/>
      <c r="S1150" s="74"/>
      <c r="T1150" s="75"/>
      <c r="U1150" s="75"/>
      <c r="V1150" s="76"/>
      <c r="W1150" s="76">
        <v>0.77</v>
      </c>
      <c r="X1150" s="77">
        <v>175</v>
      </c>
      <c r="Y1150" s="78"/>
      <c r="Z1150" s="79"/>
      <c r="AA1150" s="69"/>
      <c r="AB1150" s="68"/>
      <c r="AC1150" s="68"/>
      <c r="AD1150" s="68"/>
      <c r="AE1150" s="80"/>
      <c r="AF1150" s="80"/>
      <c r="AG1150" s="80"/>
      <c r="AH1150" s="80"/>
      <c r="AI1150" s="81" t="s">
        <v>363</v>
      </c>
      <c r="AJ1150" s="81" t="s">
        <v>83</v>
      </c>
      <c r="AK1150" s="81">
        <v>1995</v>
      </c>
      <c r="AL1150" s="81" t="s">
        <v>84</v>
      </c>
      <c r="AM1150" s="81" t="s">
        <v>375</v>
      </c>
    </row>
    <row r="1151" spans="1:39" s="82" customFormat="1" x14ac:dyDescent="0.3">
      <c r="A1151" s="67">
        <v>0</v>
      </c>
      <c r="B1151" s="68"/>
      <c r="C1151" s="68"/>
      <c r="D1151" s="68">
        <v>0</v>
      </c>
      <c r="E1151" s="68"/>
      <c r="F1151" s="68">
        <v>3</v>
      </c>
      <c r="G1151" s="69">
        <v>5.8</v>
      </c>
      <c r="H1151" s="68">
        <v>0</v>
      </c>
      <c r="I1151" s="69"/>
      <c r="J1151" s="69"/>
      <c r="K1151" s="70">
        <v>3</v>
      </c>
      <c r="L1151" s="68">
        <v>98</v>
      </c>
      <c r="M1151" s="71"/>
      <c r="N1151" s="72">
        <v>5.8</v>
      </c>
      <c r="O1151" s="84"/>
      <c r="P1151" s="73"/>
      <c r="Q1151" s="84">
        <v>1</v>
      </c>
      <c r="R1151" s="74"/>
      <c r="S1151" s="74"/>
      <c r="T1151" s="75"/>
      <c r="U1151" s="75"/>
      <c r="V1151" s="76"/>
      <c r="W1151" s="76">
        <v>0.28999999999999998</v>
      </c>
      <c r="X1151" s="77">
        <v>126</v>
      </c>
      <c r="Y1151" s="78"/>
      <c r="Z1151" s="79"/>
      <c r="AA1151" s="69"/>
      <c r="AB1151" s="68"/>
      <c r="AC1151" s="68"/>
      <c r="AD1151" s="68"/>
      <c r="AE1151" s="80"/>
      <c r="AF1151" s="80"/>
      <c r="AG1151" s="80"/>
      <c r="AH1151" s="80"/>
      <c r="AI1151" s="81" t="s">
        <v>368</v>
      </c>
      <c r="AJ1151" s="81" t="s">
        <v>83</v>
      </c>
      <c r="AK1151" s="81">
        <v>1995</v>
      </c>
      <c r="AL1151" s="81" t="s">
        <v>362</v>
      </c>
      <c r="AM1151" s="81" t="s">
        <v>375</v>
      </c>
    </row>
    <row r="1152" spans="1:39" s="82" customFormat="1" x14ac:dyDescent="0.3">
      <c r="A1152" s="67">
        <v>0</v>
      </c>
      <c r="B1152" s="68"/>
      <c r="C1152" s="68"/>
      <c r="D1152" s="68">
        <v>0</v>
      </c>
      <c r="E1152" s="68"/>
      <c r="F1152" s="68">
        <v>3</v>
      </c>
      <c r="G1152" s="69">
        <v>5.8</v>
      </c>
      <c r="H1152" s="68">
        <v>0</v>
      </c>
      <c r="I1152" s="69"/>
      <c r="J1152" s="69"/>
      <c r="K1152" s="70">
        <v>3</v>
      </c>
      <c r="L1152" s="68">
        <v>147</v>
      </c>
      <c r="M1152" s="71"/>
      <c r="N1152" s="72">
        <v>5.8</v>
      </c>
      <c r="O1152" s="84"/>
      <c r="P1152" s="73"/>
      <c r="Q1152" s="84">
        <v>1</v>
      </c>
      <c r="R1152" s="74"/>
      <c r="S1152" s="74"/>
      <c r="T1152" s="75"/>
      <c r="U1152" s="75"/>
      <c r="V1152" s="76"/>
      <c r="W1152" s="76">
        <v>0.54</v>
      </c>
      <c r="X1152" s="77">
        <v>175</v>
      </c>
      <c r="Y1152" s="78"/>
      <c r="Z1152" s="79"/>
      <c r="AA1152" s="69"/>
      <c r="AB1152" s="68"/>
      <c r="AC1152" s="68"/>
      <c r="AD1152" s="68"/>
      <c r="AE1152" s="80"/>
      <c r="AF1152" s="80"/>
      <c r="AG1152" s="80"/>
      <c r="AH1152" s="80"/>
      <c r="AI1152" s="81" t="s">
        <v>368</v>
      </c>
      <c r="AJ1152" s="81" t="s">
        <v>83</v>
      </c>
      <c r="AK1152" s="81">
        <v>1995</v>
      </c>
      <c r="AL1152" s="81" t="s">
        <v>84</v>
      </c>
      <c r="AM1152" s="81" t="s">
        <v>375</v>
      </c>
    </row>
    <row r="1153" spans="1:39" s="82" customFormat="1" x14ac:dyDescent="0.3">
      <c r="A1153" s="67">
        <v>0</v>
      </c>
      <c r="B1153" s="68"/>
      <c r="C1153" s="68"/>
      <c r="D1153" s="68">
        <v>0</v>
      </c>
      <c r="E1153" s="68"/>
      <c r="F1153" s="68">
        <v>3</v>
      </c>
      <c r="G1153" s="69">
        <v>5.5</v>
      </c>
      <c r="H1153" s="68">
        <v>0</v>
      </c>
      <c r="I1153" s="69"/>
      <c r="J1153" s="69"/>
      <c r="K1153" s="70">
        <v>3</v>
      </c>
      <c r="L1153" s="68">
        <v>98</v>
      </c>
      <c r="M1153" s="71"/>
      <c r="N1153" s="72">
        <v>5.5</v>
      </c>
      <c r="O1153" s="84"/>
      <c r="P1153" s="73"/>
      <c r="Q1153" s="84">
        <v>1</v>
      </c>
      <c r="R1153" s="74"/>
      <c r="S1153" s="74"/>
      <c r="T1153" s="75"/>
      <c r="U1153" s="75"/>
      <c r="V1153" s="76"/>
      <c r="W1153" s="76">
        <v>0.28999999999999998</v>
      </c>
      <c r="X1153" s="77">
        <v>126</v>
      </c>
      <c r="Y1153" s="78"/>
      <c r="Z1153" s="79"/>
      <c r="AA1153" s="69"/>
      <c r="AB1153" s="68"/>
      <c r="AC1153" s="68"/>
      <c r="AD1153" s="68"/>
      <c r="AE1153" s="80"/>
      <c r="AF1153" s="80"/>
      <c r="AG1153" s="80"/>
      <c r="AH1153" s="80"/>
      <c r="AI1153" s="81" t="s">
        <v>374</v>
      </c>
      <c r="AJ1153" s="81" t="s">
        <v>83</v>
      </c>
      <c r="AK1153" s="81">
        <v>1995</v>
      </c>
      <c r="AL1153" s="81" t="s">
        <v>362</v>
      </c>
      <c r="AM1153" s="81" t="s">
        <v>375</v>
      </c>
    </row>
    <row r="1154" spans="1:39" s="82" customFormat="1" x14ac:dyDescent="0.3">
      <c r="A1154" s="67">
        <v>0</v>
      </c>
      <c r="B1154" s="68"/>
      <c r="C1154" s="68"/>
      <c r="D1154" s="68">
        <v>0</v>
      </c>
      <c r="E1154" s="68"/>
      <c r="F1154" s="68">
        <v>3</v>
      </c>
      <c r="G1154" s="69">
        <v>5.5</v>
      </c>
      <c r="H1154" s="68">
        <v>0</v>
      </c>
      <c r="I1154" s="69"/>
      <c r="J1154" s="69"/>
      <c r="K1154" s="70">
        <v>3</v>
      </c>
      <c r="L1154" s="68">
        <v>147</v>
      </c>
      <c r="M1154" s="71"/>
      <c r="N1154" s="72">
        <v>5.5</v>
      </c>
      <c r="O1154" s="84"/>
      <c r="P1154" s="73"/>
      <c r="Q1154" s="84">
        <v>1</v>
      </c>
      <c r="R1154" s="74"/>
      <c r="S1154" s="74"/>
      <c r="T1154" s="75"/>
      <c r="U1154" s="75"/>
      <c r="V1154" s="76"/>
      <c r="W1154" s="76">
        <v>0.54</v>
      </c>
      <c r="X1154" s="77">
        <v>175</v>
      </c>
      <c r="Y1154" s="78"/>
      <c r="Z1154" s="79"/>
      <c r="AA1154" s="69"/>
      <c r="AB1154" s="68"/>
      <c r="AC1154" s="68"/>
      <c r="AD1154" s="68"/>
      <c r="AE1154" s="80"/>
      <c r="AF1154" s="80"/>
      <c r="AG1154" s="80"/>
      <c r="AH1154" s="80"/>
      <c r="AI1154" s="81" t="s">
        <v>374</v>
      </c>
      <c r="AJ1154" s="81" t="s">
        <v>83</v>
      </c>
      <c r="AK1154" s="81">
        <v>1995</v>
      </c>
      <c r="AL1154" s="81" t="s">
        <v>84</v>
      </c>
      <c r="AM1154" s="81" t="s">
        <v>375</v>
      </c>
    </row>
    <row r="1155" spans="1:39" s="82" customFormat="1" x14ac:dyDescent="0.3">
      <c r="A1155" s="67">
        <v>0</v>
      </c>
      <c r="B1155" s="68"/>
      <c r="C1155" s="68"/>
      <c r="D1155" s="68">
        <v>0</v>
      </c>
      <c r="E1155" s="68"/>
      <c r="F1155" s="68">
        <v>3</v>
      </c>
      <c r="G1155" s="69">
        <v>5.8</v>
      </c>
      <c r="H1155" s="68">
        <v>0</v>
      </c>
      <c r="I1155" s="69"/>
      <c r="J1155" s="69"/>
      <c r="K1155" s="70">
        <v>3</v>
      </c>
      <c r="L1155" s="68">
        <v>98</v>
      </c>
      <c r="M1155" s="71"/>
      <c r="N1155" s="72">
        <v>5.8</v>
      </c>
      <c r="O1155" s="84"/>
      <c r="P1155" s="73"/>
      <c r="Q1155" s="84">
        <v>1</v>
      </c>
      <c r="R1155" s="74"/>
      <c r="S1155" s="74"/>
      <c r="T1155" s="75"/>
      <c r="U1155" s="75"/>
      <c r="V1155" s="76"/>
      <c r="W1155" s="76">
        <v>0.28999999999999998</v>
      </c>
      <c r="X1155" s="77">
        <v>126</v>
      </c>
      <c r="Y1155" s="78"/>
      <c r="Z1155" s="79"/>
      <c r="AA1155" s="69"/>
      <c r="AB1155" s="68"/>
      <c r="AC1155" s="68"/>
      <c r="AD1155" s="68"/>
      <c r="AE1155" s="80"/>
      <c r="AF1155" s="80"/>
      <c r="AG1155" s="80"/>
      <c r="AH1155" s="80"/>
      <c r="AI1155" s="81" t="s">
        <v>371</v>
      </c>
      <c r="AJ1155" s="81" t="s">
        <v>83</v>
      </c>
      <c r="AK1155" s="81">
        <v>1995</v>
      </c>
      <c r="AL1155" s="81" t="s">
        <v>362</v>
      </c>
      <c r="AM1155" s="81" t="s">
        <v>375</v>
      </c>
    </row>
    <row r="1156" spans="1:39" s="82" customFormat="1" x14ac:dyDescent="0.3">
      <c r="A1156" s="67">
        <v>0</v>
      </c>
      <c r="B1156" s="68"/>
      <c r="C1156" s="68"/>
      <c r="D1156" s="68">
        <v>0</v>
      </c>
      <c r="E1156" s="68"/>
      <c r="F1156" s="68">
        <v>3</v>
      </c>
      <c r="G1156" s="69">
        <v>5.8</v>
      </c>
      <c r="H1156" s="68">
        <v>0</v>
      </c>
      <c r="I1156" s="69"/>
      <c r="J1156" s="69"/>
      <c r="K1156" s="70">
        <v>3</v>
      </c>
      <c r="L1156" s="68">
        <v>147</v>
      </c>
      <c r="M1156" s="71"/>
      <c r="N1156" s="72">
        <v>5.8</v>
      </c>
      <c r="O1156" s="84"/>
      <c r="P1156" s="73"/>
      <c r="Q1156" s="84">
        <v>1</v>
      </c>
      <c r="R1156" s="74"/>
      <c r="S1156" s="74"/>
      <c r="T1156" s="75"/>
      <c r="U1156" s="75"/>
      <c r="V1156" s="76"/>
      <c r="W1156" s="76">
        <v>0.54</v>
      </c>
      <c r="X1156" s="77">
        <v>175</v>
      </c>
      <c r="Y1156" s="78"/>
      <c r="Z1156" s="79"/>
      <c r="AA1156" s="69"/>
      <c r="AB1156" s="68"/>
      <c r="AC1156" s="68"/>
      <c r="AD1156" s="68"/>
      <c r="AE1156" s="80"/>
      <c r="AF1156" s="80"/>
      <c r="AG1156" s="80"/>
      <c r="AH1156" s="80"/>
      <c r="AI1156" s="81" t="s">
        <v>371</v>
      </c>
      <c r="AJ1156" s="81" t="s">
        <v>83</v>
      </c>
      <c r="AK1156" s="81">
        <v>1995</v>
      </c>
      <c r="AL1156" s="81" t="s">
        <v>84</v>
      </c>
      <c r="AM1156" s="81" t="s">
        <v>375</v>
      </c>
    </row>
    <row r="1157" spans="1:39" s="82" customFormat="1" x14ac:dyDescent="0.3">
      <c r="A1157" s="67">
        <v>0</v>
      </c>
      <c r="B1157" s="68"/>
      <c r="C1157" s="68"/>
      <c r="D1157" s="68">
        <v>0</v>
      </c>
      <c r="E1157" s="68"/>
      <c r="F1157" s="68">
        <v>3</v>
      </c>
      <c r="G1157" s="69">
        <v>5.8</v>
      </c>
      <c r="H1157" s="68">
        <v>0</v>
      </c>
      <c r="I1157" s="69"/>
      <c r="J1157" s="69"/>
      <c r="K1157" s="70">
        <v>3</v>
      </c>
      <c r="L1157" s="68">
        <v>98</v>
      </c>
      <c r="M1157" s="71"/>
      <c r="N1157" s="72">
        <v>5.8</v>
      </c>
      <c r="O1157" s="84"/>
      <c r="P1157" s="73"/>
      <c r="Q1157" s="84">
        <v>1</v>
      </c>
      <c r="R1157" s="74"/>
      <c r="S1157" s="74"/>
      <c r="T1157" s="75"/>
      <c r="U1157" s="75"/>
      <c r="V1157" s="76"/>
      <c r="W1157" s="76">
        <v>0.28999999999999998</v>
      </c>
      <c r="X1157" s="77">
        <v>126</v>
      </c>
      <c r="Y1157" s="78"/>
      <c r="Z1157" s="79"/>
      <c r="AA1157" s="69"/>
      <c r="AB1157" s="68"/>
      <c r="AC1157" s="68"/>
      <c r="AD1157" s="68"/>
      <c r="AE1157" s="80"/>
      <c r="AF1157" s="80"/>
      <c r="AG1157" s="80"/>
      <c r="AH1157" s="80"/>
      <c r="AI1157" s="81" t="s">
        <v>365</v>
      </c>
      <c r="AJ1157" s="81" t="s">
        <v>83</v>
      </c>
      <c r="AK1157" s="81">
        <v>1995</v>
      </c>
      <c r="AL1157" s="81" t="s">
        <v>362</v>
      </c>
      <c r="AM1157" s="81" t="s">
        <v>375</v>
      </c>
    </row>
    <row r="1158" spans="1:39" s="82" customFormat="1" x14ac:dyDescent="0.3">
      <c r="A1158" s="67">
        <v>0</v>
      </c>
      <c r="B1158" s="68"/>
      <c r="C1158" s="68"/>
      <c r="D1158" s="68">
        <v>0</v>
      </c>
      <c r="E1158" s="68"/>
      <c r="F1158" s="68">
        <v>3</v>
      </c>
      <c r="G1158" s="69">
        <v>5.8</v>
      </c>
      <c r="H1158" s="68">
        <v>0</v>
      </c>
      <c r="I1158" s="69"/>
      <c r="J1158" s="69"/>
      <c r="K1158" s="70">
        <v>3</v>
      </c>
      <c r="L1158" s="68">
        <v>147</v>
      </c>
      <c r="M1158" s="71"/>
      <c r="N1158" s="72">
        <v>5.8</v>
      </c>
      <c r="O1158" s="84"/>
      <c r="P1158" s="73"/>
      <c r="Q1158" s="84">
        <v>1</v>
      </c>
      <c r="R1158" s="74"/>
      <c r="S1158" s="74"/>
      <c r="T1158" s="75"/>
      <c r="U1158" s="75"/>
      <c r="V1158" s="76"/>
      <c r="W1158" s="76">
        <v>0.54</v>
      </c>
      <c r="X1158" s="77">
        <v>175</v>
      </c>
      <c r="Y1158" s="78"/>
      <c r="Z1158" s="79"/>
      <c r="AA1158" s="69"/>
      <c r="AB1158" s="68"/>
      <c r="AC1158" s="68"/>
      <c r="AD1158" s="68"/>
      <c r="AE1158" s="80"/>
      <c r="AF1158" s="80"/>
      <c r="AG1158" s="80"/>
      <c r="AH1158" s="80"/>
      <c r="AI1158" s="81" t="s">
        <v>365</v>
      </c>
      <c r="AJ1158" s="81" t="s">
        <v>83</v>
      </c>
      <c r="AK1158" s="81">
        <v>1995</v>
      </c>
      <c r="AL1158" s="81" t="s">
        <v>84</v>
      </c>
      <c r="AM1158" s="81" t="s">
        <v>375</v>
      </c>
    </row>
    <row r="1159" spans="1:39" s="82" customFormat="1" x14ac:dyDescent="0.3">
      <c r="A1159" s="67">
        <v>0</v>
      </c>
      <c r="B1159" s="68"/>
      <c r="C1159" s="68"/>
      <c r="D1159" s="68">
        <v>0</v>
      </c>
      <c r="E1159" s="68"/>
      <c r="F1159" s="68">
        <v>3</v>
      </c>
      <c r="G1159" s="69">
        <v>5.8</v>
      </c>
      <c r="H1159" s="68">
        <v>0</v>
      </c>
      <c r="I1159" s="69"/>
      <c r="J1159" s="69"/>
      <c r="K1159" s="70">
        <v>3</v>
      </c>
      <c r="L1159" s="68">
        <v>98</v>
      </c>
      <c r="M1159" s="71"/>
      <c r="N1159" s="72">
        <v>5.8</v>
      </c>
      <c r="O1159" s="84"/>
      <c r="P1159" s="73"/>
      <c r="Q1159" s="84">
        <v>1</v>
      </c>
      <c r="R1159" s="74"/>
      <c r="S1159" s="74"/>
      <c r="T1159" s="75"/>
      <c r="U1159" s="75"/>
      <c r="V1159" s="76"/>
      <c r="W1159" s="76">
        <v>0.53</v>
      </c>
      <c r="X1159" s="77">
        <v>126</v>
      </c>
      <c r="Y1159" s="78"/>
      <c r="Z1159" s="79"/>
      <c r="AA1159" s="69"/>
      <c r="AB1159" s="68"/>
      <c r="AC1159" s="68"/>
      <c r="AD1159" s="68"/>
      <c r="AE1159" s="80"/>
      <c r="AF1159" s="80"/>
      <c r="AG1159" s="80"/>
      <c r="AH1159" s="80"/>
      <c r="AI1159" s="81" t="s">
        <v>367</v>
      </c>
      <c r="AJ1159" s="81" t="s">
        <v>83</v>
      </c>
      <c r="AK1159" s="81">
        <v>1995</v>
      </c>
      <c r="AL1159" s="81" t="s">
        <v>362</v>
      </c>
      <c r="AM1159" s="81" t="s">
        <v>375</v>
      </c>
    </row>
    <row r="1160" spans="1:39" s="82" customFormat="1" x14ac:dyDescent="0.3">
      <c r="A1160" s="67">
        <v>0</v>
      </c>
      <c r="B1160" s="68"/>
      <c r="C1160" s="68"/>
      <c r="D1160" s="68">
        <v>0</v>
      </c>
      <c r="E1160" s="68"/>
      <c r="F1160" s="68">
        <v>3</v>
      </c>
      <c r="G1160" s="69">
        <v>5.8</v>
      </c>
      <c r="H1160" s="68">
        <v>0</v>
      </c>
      <c r="I1160" s="69"/>
      <c r="J1160" s="69"/>
      <c r="K1160" s="70">
        <v>3</v>
      </c>
      <c r="L1160" s="68">
        <v>147</v>
      </c>
      <c r="M1160" s="71"/>
      <c r="N1160" s="72">
        <v>5.8</v>
      </c>
      <c r="O1160" s="84"/>
      <c r="P1160" s="73"/>
      <c r="Q1160" s="84">
        <v>1</v>
      </c>
      <c r="R1160" s="74"/>
      <c r="S1160" s="74"/>
      <c r="T1160" s="75"/>
      <c r="U1160" s="75"/>
      <c r="V1160" s="76"/>
      <c r="W1160" s="76">
        <v>0.73</v>
      </c>
      <c r="X1160" s="77">
        <v>175</v>
      </c>
      <c r="Y1160" s="78"/>
      <c r="Z1160" s="79"/>
      <c r="AA1160" s="69"/>
      <c r="AB1160" s="68"/>
      <c r="AC1160" s="68"/>
      <c r="AD1160" s="68"/>
      <c r="AE1160" s="80"/>
      <c r="AF1160" s="80"/>
      <c r="AG1160" s="80"/>
      <c r="AH1160" s="80"/>
      <c r="AI1160" s="81" t="s">
        <v>367</v>
      </c>
      <c r="AJ1160" s="81" t="s">
        <v>83</v>
      </c>
      <c r="AK1160" s="81">
        <v>1995</v>
      </c>
      <c r="AL1160" s="81" t="s">
        <v>84</v>
      </c>
      <c r="AM1160" s="81" t="s">
        <v>375</v>
      </c>
    </row>
    <row r="1161" spans="1:39" s="82" customFormat="1" x14ac:dyDescent="0.3">
      <c r="A1161" s="67">
        <v>0</v>
      </c>
      <c r="B1161" s="68"/>
      <c r="C1161" s="68"/>
      <c r="D1161" s="68">
        <v>0</v>
      </c>
      <c r="E1161" s="68"/>
      <c r="F1161" s="68">
        <v>3</v>
      </c>
      <c r="G1161" s="69">
        <v>5.5</v>
      </c>
      <c r="H1161" s="68">
        <v>0</v>
      </c>
      <c r="I1161" s="69"/>
      <c r="J1161" s="69"/>
      <c r="K1161" s="70">
        <v>3</v>
      </c>
      <c r="L1161" s="68">
        <v>98</v>
      </c>
      <c r="M1161" s="71"/>
      <c r="N1161" s="72">
        <v>5.5</v>
      </c>
      <c r="O1161" s="84"/>
      <c r="P1161" s="73"/>
      <c r="Q1161" s="84">
        <v>1</v>
      </c>
      <c r="R1161" s="74"/>
      <c r="S1161" s="74"/>
      <c r="T1161" s="75"/>
      <c r="U1161" s="75"/>
      <c r="V1161" s="76"/>
      <c r="W1161" s="76">
        <v>0.53</v>
      </c>
      <c r="X1161" s="77">
        <v>126</v>
      </c>
      <c r="Y1161" s="78"/>
      <c r="Z1161" s="79"/>
      <c r="AA1161" s="69"/>
      <c r="AB1161" s="68"/>
      <c r="AC1161" s="68"/>
      <c r="AD1161" s="68"/>
      <c r="AE1161" s="80"/>
      <c r="AF1161" s="80"/>
      <c r="AG1161" s="80"/>
      <c r="AH1161" s="80"/>
      <c r="AI1161" s="81" t="s">
        <v>373</v>
      </c>
      <c r="AJ1161" s="81" t="s">
        <v>83</v>
      </c>
      <c r="AK1161" s="81">
        <v>1995</v>
      </c>
      <c r="AL1161" s="81" t="s">
        <v>362</v>
      </c>
      <c r="AM1161" s="81" t="s">
        <v>375</v>
      </c>
    </row>
    <row r="1162" spans="1:39" s="82" customFormat="1" x14ac:dyDescent="0.3">
      <c r="A1162" s="67">
        <v>0</v>
      </c>
      <c r="B1162" s="68"/>
      <c r="C1162" s="68"/>
      <c r="D1162" s="68">
        <v>0</v>
      </c>
      <c r="E1162" s="68"/>
      <c r="F1162" s="68">
        <v>3</v>
      </c>
      <c r="G1162" s="69">
        <v>5.5</v>
      </c>
      <c r="H1162" s="68">
        <v>0</v>
      </c>
      <c r="I1162" s="69"/>
      <c r="J1162" s="69"/>
      <c r="K1162" s="70">
        <v>3</v>
      </c>
      <c r="L1162" s="68">
        <v>147</v>
      </c>
      <c r="M1162" s="71"/>
      <c r="N1162" s="72">
        <v>5.5</v>
      </c>
      <c r="O1162" s="84"/>
      <c r="P1162" s="73"/>
      <c r="Q1162" s="84">
        <v>1</v>
      </c>
      <c r="R1162" s="74"/>
      <c r="S1162" s="74"/>
      <c r="T1162" s="75"/>
      <c r="U1162" s="75"/>
      <c r="V1162" s="76"/>
      <c r="W1162" s="76">
        <v>0.73</v>
      </c>
      <c r="X1162" s="77">
        <v>175</v>
      </c>
      <c r="Y1162" s="78"/>
      <c r="Z1162" s="79"/>
      <c r="AA1162" s="69"/>
      <c r="AB1162" s="68"/>
      <c r="AC1162" s="68"/>
      <c r="AD1162" s="68"/>
      <c r="AE1162" s="80"/>
      <c r="AF1162" s="80"/>
      <c r="AG1162" s="80"/>
      <c r="AH1162" s="80"/>
      <c r="AI1162" s="81" t="s">
        <v>373</v>
      </c>
      <c r="AJ1162" s="81" t="s">
        <v>83</v>
      </c>
      <c r="AK1162" s="81">
        <v>1995</v>
      </c>
      <c r="AL1162" s="81" t="s">
        <v>84</v>
      </c>
      <c r="AM1162" s="81" t="s">
        <v>375</v>
      </c>
    </row>
    <row r="1163" spans="1:39" s="82" customFormat="1" x14ac:dyDescent="0.3">
      <c r="A1163" s="67">
        <v>0</v>
      </c>
      <c r="B1163" s="68"/>
      <c r="C1163" s="68"/>
      <c r="D1163" s="68">
        <v>0</v>
      </c>
      <c r="E1163" s="68"/>
      <c r="F1163" s="68">
        <v>3</v>
      </c>
      <c r="G1163" s="69">
        <v>5.8</v>
      </c>
      <c r="H1163" s="68">
        <v>0</v>
      </c>
      <c r="I1163" s="69"/>
      <c r="J1163" s="69"/>
      <c r="K1163" s="70">
        <v>3</v>
      </c>
      <c r="L1163" s="68">
        <v>98</v>
      </c>
      <c r="M1163" s="71"/>
      <c r="N1163" s="72">
        <v>5.8</v>
      </c>
      <c r="O1163" s="84"/>
      <c r="P1163" s="73"/>
      <c r="Q1163" s="84">
        <v>1</v>
      </c>
      <c r="R1163" s="74"/>
      <c r="S1163" s="74"/>
      <c r="T1163" s="75"/>
      <c r="U1163" s="75"/>
      <c r="V1163" s="76"/>
      <c r="W1163" s="76">
        <v>0.53</v>
      </c>
      <c r="X1163" s="77">
        <v>126</v>
      </c>
      <c r="Y1163" s="78"/>
      <c r="Z1163" s="79"/>
      <c r="AA1163" s="69"/>
      <c r="AB1163" s="68"/>
      <c r="AC1163" s="68"/>
      <c r="AD1163" s="68"/>
      <c r="AE1163" s="80"/>
      <c r="AF1163" s="80"/>
      <c r="AG1163" s="80"/>
      <c r="AH1163" s="80"/>
      <c r="AI1163" s="81" t="s">
        <v>370</v>
      </c>
      <c r="AJ1163" s="81" t="s">
        <v>83</v>
      </c>
      <c r="AK1163" s="81">
        <v>1995</v>
      </c>
      <c r="AL1163" s="81" t="s">
        <v>362</v>
      </c>
      <c r="AM1163" s="81" t="s">
        <v>375</v>
      </c>
    </row>
    <row r="1164" spans="1:39" s="82" customFormat="1" x14ac:dyDescent="0.3">
      <c r="A1164" s="67">
        <v>0</v>
      </c>
      <c r="B1164" s="68"/>
      <c r="C1164" s="68"/>
      <c r="D1164" s="68">
        <v>0</v>
      </c>
      <c r="E1164" s="68"/>
      <c r="F1164" s="68">
        <v>3</v>
      </c>
      <c r="G1164" s="69">
        <v>5.8</v>
      </c>
      <c r="H1164" s="68">
        <v>0</v>
      </c>
      <c r="I1164" s="69"/>
      <c r="J1164" s="69"/>
      <c r="K1164" s="70">
        <v>3</v>
      </c>
      <c r="L1164" s="68">
        <v>147</v>
      </c>
      <c r="M1164" s="71"/>
      <c r="N1164" s="72">
        <v>5.8</v>
      </c>
      <c r="O1164" s="84"/>
      <c r="P1164" s="73"/>
      <c r="Q1164" s="84">
        <v>1</v>
      </c>
      <c r="R1164" s="74"/>
      <c r="S1164" s="74"/>
      <c r="T1164" s="75"/>
      <c r="U1164" s="75"/>
      <c r="V1164" s="76"/>
      <c r="W1164" s="76">
        <v>0.73</v>
      </c>
      <c r="X1164" s="77">
        <v>175</v>
      </c>
      <c r="Y1164" s="78"/>
      <c r="Z1164" s="79"/>
      <c r="AA1164" s="69"/>
      <c r="AB1164" s="68"/>
      <c r="AC1164" s="68"/>
      <c r="AD1164" s="68"/>
      <c r="AE1164" s="80"/>
      <c r="AF1164" s="80"/>
      <c r="AG1164" s="80"/>
      <c r="AH1164" s="80"/>
      <c r="AI1164" s="81" t="s">
        <v>370</v>
      </c>
      <c r="AJ1164" s="81" t="s">
        <v>83</v>
      </c>
      <c r="AK1164" s="81">
        <v>1995</v>
      </c>
      <c r="AL1164" s="81" t="s">
        <v>84</v>
      </c>
      <c r="AM1164" s="81" t="s">
        <v>375</v>
      </c>
    </row>
    <row r="1165" spans="1:39" s="82" customFormat="1" x14ac:dyDescent="0.3">
      <c r="A1165" s="67">
        <v>0</v>
      </c>
      <c r="B1165" s="68"/>
      <c r="C1165" s="68"/>
      <c r="D1165" s="68">
        <v>0</v>
      </c>
      <c r="E1165" s="68"/>
      <c r="F1165" s="68">
        <v>3</v>
      </c>
      <c r="G1165" s="69">
        <v>5.8</v>
      </c>
      <c r="H1165" s="68">
        <v>0</v>
      </c>
      <c r="I1165" s="69"/>
      <c r="J1165" s="69"/>
      <c r="K1165" s="70">
        <v>3</v>
      </c>
      <c r="L1165" s="68">
        <v>98</v>
      </c>
      <c r="M1165" s="71"/>
      <c r="N1165" s="72">
        <v>5.8</v>
      </c>
      <c r="O1165" s="84"/>
      <c r="P1165" s="73"/>
      <c r="Q1165" s="84">
        <v>1</v>
      </c>
      <c r="R1165" s="74"/>
      <c r="S1165" s="74"/>
      <c r="T1165" s="75"/>
      <c r="U1165" s="75"/>
      <c r="V1165" s="76"/>
      <c r="W1165" s="76">
        <v>0.53</v>
      </c>
      <c r="X1165" s="77">
        <v>126</v>
      </c>
      <c r="Y1165" s="78"/>
      <c r="Z1165" s="79"/>
      <c r="AA1165" s="69"/>
      <c r="AB1165" s="68"/>
      <c r="AC1165" s="68"/>
      <c r="AD1165" s="68"/>
      <c r="AE1165" s="80"/>
      <c r="AF1165" s="80"/>
      <c r="AG1165" s="80"/>
      <c r="AH1165" s="80"/>
      <c r="AI1165" s="81" t="s">
        <v>364</v>
      </c>
      <c r="AJ1165" s="81" t="s">
        <v>83</v>
      </c>
      <c r="AK1165" s="81">
        <v>1995</v>
      </c>
      <c r="AL1165" s="81" t="s">
        <v>362</v>
      </c>
      <c r="AM1165" s="81" t="s">
        <v>375</v>
      </c>
    </row>
    <row r="1166" spans="1:39" s="82" customFormat="1" x14ac:dyDescent="0.3">
      <c r="A1166" s="67">
        <v>0</v>
      </c>
      <c r="B1166" s="68"/>
      <c r="C1166" s="68"/>
      <c r="D1166" s="68">
        <v>0</v>
      </c>
      <c r="E1166" s="68"/>
      <c r="F1166" s="68">
        <v>3</v>
      </c>
      <c r="G1166" s="69">
        <v>5.8</v>
      </c>
      <c r="H1166" s="68">
        <v>0</v>
      </c>
      <c r="I1166" s="69"/>
      <c r="J1166" s="69"/>
      <c r="K1166" s="70">
        <v>3</v>
      </c>
      <c r="L1166" s="68">
        <v>147</v>
      </c>
      <c r="M1166" s="71"/>
      <c r="N1166" s="72">
        <v>5.8</v>
      </c>
      <c r="O1166" s="84"/>
      <c r="P1166" s="73"/>
      <c r="Q1166" s="84">
        <v>1</v>
      </c>
      <c r="R1166" s="74"/>
      <c r="S1166" s="74"/>
      <c r="T1166" s="75"/>
      <c r="U1166" s="75"/>
      <c r="V1166" s="76"/>
      <c r="W1166" s="76">
        <v>0.73</v>
      </c>
      <c r="X1166" s="77">
        <v>175</v>
      </c>
      <c r="Y1166" s="78"/>
      <c r="Z1166" s="79"/>
      <c r="AA1166" s="69"/>
      <c r="AB1166" s="68"/>
      <c r="AC1166" s="68"/>
      <c r="AD1166" s="68"/>
      <c r="AE1166" s="80"/>
      <c r="AF1166" s="80"/>
      <c r="AG1166" s="80"/>
      <c r="AH1166" s="80"/>
      <c r="AI1166" s="81" t="s">
        <v>364</v>
      </c>
      <c r="AJ1166" s="81" t="s">
        <v>83</v>
      </c>
      <c r="AK1166" s="81">
        <v>1995</v>
      </c>
      <c r="AL1166" s="81" t="s">
        <v>84</v>
      </c>
      <c r="AM1166" s="81" t="s">
        <v>375</v>
      </c>
    </row>
    <row r="1167" spans="1:39" s="82" customFormat="1" x14ac:dyDescent="0.3">
      <c r="A1167" s="67">
        <v>107</v>
      </c>
      <c r="B1167" s="68"/>
      <c r="C1167" s="68"/>
      <c r="D1167" s="68">
        <v>2</v>
      </c>
      <c r="E1167" s="68">
        <v>40</v>
      </c>
      <c r="F1167" s="68">
        <v>0</v>
      </c>
      <c r="G1167" s="69"/>
      <c r="H1167" s="68"/>
      <c r="I1167" s="69"/>
      <c r="J1167" s="69"/>
      <c r="K1167" s="70">
        <v>1</v>
      </c>
      <c r="L1167" s="68">
        <v>98</v>
      </c>
      <c r="M1167" s="71">
        <v>40</v>
      </c>
      <c r="N1167" s="72"/>
      <c r="O1167" s="84"/>
      <c r="P1167" s="73"/>
      <c r="Q1167" s="84">
        <v>1</v>
      </c>
      <c r="R1167" s="74"/>
      <c r="S1167" s="74"/>
      <c r="T1167" s="75">
        <v>6.3</v>
      </c>
      <c r="U1167" s="75">
        <v>7.1</v>
      </c>
      <c r="V1167" s="76"/>
      <c r="W1167" s="76">
        <f>87/107</f>
        <v>0.81308411214953269</v>
      </c>
      <c r="X1167" s="77">
        <v>168</v>
      </c>
      <c r="Y1167" s="78"/>
      <c r="Z1167" s="79"/>
      <c r="AA1167" s="69"/>
      <c r="AB1167" s="68"/>
      <c r="AC1167" s="68"/>
      <c r="AD1167" s="68"/>
      <c r="AE1167" s="80"/>
      <c r="AF1167" s="80"/>
      <c r="AG1167" s="80"/>
      <c r="AH1167" s="80"/>
      <c r="AI1167" s="81" t="s">
        <v>86</v>
      </c>
      <c r="AJ1167" s="81" t="s">
        <v>83</v>
      </c>
      <c r="AK1167" s="81">
        <v>1997</v>
      </c>
      <c r="AL1167" s="81" t="s">
        <v>84</v>
      </c>
      <c r="AM1167" s="81"/>
    </row>
    <row r="1168" spans="1:39" s="82" customFormat="1" x14ac:dyDescent="0.3">
      <c r="A1168" s="67">
        <v>107</v>
      </c>
      <c r="B1168" s="68">
        <v>107</v>
      </c>
      <c r="C1168" s="68"/>
      <c r="D1168" s="68">
        <v>3</v>
      </c>
      <c r="E1168" s="68">
        <v>40</v>
      </c>
      <c r="F1168" s="68">
        <v>0</v>
      </c>
      <c r="G1168" s="69"/>
      <c r="H1168" s="68"/>
      <c r="I1168" s="69"/>
      <c r="J1168" s="69"/>
      <c r="K1168" s="70">
        <v>1</v>
      </c>
      <c r="L1168" s="68">
        <v>168</v>
      </c>
      <c r="M1168" s="71"/>
      <c r="N1168" s="72">
        <v>6</v>
      </c>
      <c r="O1168" s="84">
        <v>168</v>
      </c>
      <c r="P1168" s="73">
        <f>87/107</f>
        <v>0.81308411214953269</v>
      </c>
      <c r="Q1168" s="84">
        <v>1</v>
      </c>
      <c r="R1168" s="74">
        <v>6.3</v>
      </c>
      <c r="S1168" s="74">
        <v>7.1</v>
      </c>
      <c r="T1168" s="75"/>
      <c r="U1168" s="75"/>
      <c r="V1168" s="76"/>
      <c r="W1168" s="76"/>
      <c r="X1168" s="77"/>
      <c r="Y1168" s="78">
        <f>17/107</f>
        <v>0.15887850467289719</v>
      </c>
      <c r="Z1168" s="79"/>
      <c r="AA1168" s="69"/>
      <c r="AB1168" s="68"/>
      <c r="AC1168" s="68"/>
      <c r="AD1168" s="68"/>
      <c r="AE1168" s="80"/>
      <c r="AF1168" s="80"/>
      <c r="AG1168" s="80"/>
      <c r="AH1168" s="80"/>
      <c r="AI1168" s="81" t="s">
        <v>86</v>
      </c>
      <c r="AJ1168" s="81" t="s">
        <v>83</v>
      </c>
      <c r="AK1168" s="81">
        <v>1997</v>
      </c>
      <c r="AL1168" s="81" t="s">
        <v>84</v>
      </c>
      <c r="AM1168" s="81"/>
    </row>
    <row r="1169" spans="1:39" s="82" customFormat="1" x14ac:dyDescent="0.3">
      <c r="A1169" s="67">
        <v>118</v>
      </c>
      <c r="B1169" s="68"/>
      <c r="C1169" s="68">
        <v>2</v>
      </c>
      <c r="D1169" s="68">
        <v>0</v>
      </c>
      <c r="E1169" s="68">
        <v>40</v>
      </c>
      <c r="F1169" s="68">
        <v>1</v>
      </c>
      <c r="G1169" s="69">
        <v>6</v>
      </c>
      <c r="H1169" s="68"/>
      <c r="I1169" s="69"/>
      <c r="J1169" s="69"/>
      <c r="K1169" s="20">
        <v>1</v>
      </c>
      <c r="L1169" s="68">
        <v>98</v>
      </c>
      <c r="M1169" s="71">
        <v>40</v>
      </c>
      <c r="N1169" s="72">
        <v>6</v>
      </c>
      <c r="O1169" s="84"/>
      <c r="P1169" s="73"/>
      <c r="Q1169" s="84">
        <v>1</v>
      </c>
      <c r="R1169" s="74"/>
      <c r="S1169" s="74"/>
      <c r="T1169" s="75">
        <v>8.7073591320808816</v>
      </c>
      <c r="U1169" s="75">
        <v>3.7180294576104451</v>
      </c>
      <c r="V1169" s="76"/>
      <c r="W1169" s="76">
        <v>0.97</v>
      </c>
      <c r="X1169" s="77">
        <v>168</v>
      </c>
      <c r="Y1169" s="78"/>
      <c r="Z1169" s="79"/>
      <c r="AA1169" s="69"/>
      <c r="AB1169" s="68"/>
      <c r="AC1169" s="68"/>
      <c r="AD1169" s="68"/>
      <c r="AE1169" s="80"/>
      <c r="AF1169" s="80"/>
      <c r="AG1169" s="80"/>
      <c r="AH1169" s="80"/>
      <c r="AI1169" s="81" t="s">
        <v>123</v>
      </c>
      <c r="AJ1169" s="81" t="s">
        <v>83</v>
      </c>
      <c r="AK1169" s="81">
        <v>1997</v>
      </c>
      <c r="AL1169" s="81" t="s">
        <v>84</v>
      </c>
      <c r="AM1169" s="81"/>
    </row>
    <row r="1170" spans="1:39" s="82" customFormat="1" x14ac:dyDescent="0.3">
      <c r="A1170" s="67">
        <v>118</v>
      </c>
      <c r="B1170" s="68">
        <v>118</v>
      </c>
      <c r="C1170" s="68">
        <v>3</v>
      </c>
      <c r="D1170" s="68">
        <v>0</v>
      </c>
      <c r="E1170" s="68">
        <v>40</v>
      </c>
      <c r="F1170" s="68">
        <v>1</v>
      </c>
      <c r="G1170" s="69">
        <v>6</v>
      </c>
      <c r="H1170" s="68"/>
      <c r="I1170" s="69"/>
      <c r="J1170" s="69"/>
      <c r="K1170" s="20">
        <v>1</v>
      </c>
      <c r="L1170" s="68">
        <v>168</v>
      </c>
      <c r="M1170" s="71"/>
      <c r="N1170" s="72">
        <v>6</v>
      </c>
      <c r="O1170" s="84">
        <v>168</v>
      </c>
      <c r="P1170" s="73"/>
      <c r="Q1170" s="84">
        <v>1</v>
      </c>
      <c r="R1170" s="74">
        <v>8.7073591320808816</v>
      </c>
      <c r="S1170" s="74">
        <v>3.7180294576104451</v>
      </c>
      <c r="T1170" s="75"/>
      <c r="U1170" s="75"/>
      <c r="V1170" s="76"/>
      <c r="W1170" s="76"/>
      <c r="X1170" s="77"/>
      <c r="Y1170" s="78">
        <v>0.09</v>
      </c>
      <c r="Z1170" s="79"/>
      <c r="AA1170" s="69"/>
      <c r="AB1170" s="68"/>
      <c r="AC1170" s="68"/>
      <c r="AD1170" s="68"/>
      <c r="AE1170" s="80"/>
      <c r="AF1170" s="80"/>
      <c r="AG1170" s="80"/>
      <c r="AH1170" s="80"/>
      <c r="AI1170" s="81" t="s">
        <v>123</v>
      </c>
      <c r="AJ1170" s="81" t="s">
        <v>83</v>
      </c>
      <c r="AK1170" s="81">
        <v>1997</v>
      </c>
      <c r="AL1170" s="81" t="s">
        <v>84</v>
      </c>
      <c r="AM1170" s="81"/>
    </row>
    <row r="1171" spans="1:39" s="82" customFormat="1" x14ac:dyDescent="0.3">
      <c r="A1171" s="67">
        <v>114</v>
      </c>
      <c r="B1171" s="68"/>
      <c r="C1171" s="68"/>
      <c r="D1171" s="68">
        <v>0</v>
      </c>
      <c r="E1171" s="68"/>
      <c r="F1171" s="68">
        <v>3</v>
      </c>
      <c r="G1171" s="69">
        <v>6</v>
      </c>
      <c r="H1171" s="68"/>
      <c r="I1171" s="69"/>
      <c r="J1171" s="69"/>
      <c r="K1171" s="20">
        <v>1</v>
      </c>
      <c r="L1171" s="68">
        <v>98</v>
      </c>
      <c r="M1171" s="71"/>
      <c r="N1171" s="72">
        <v>6</v>
      </c>
      <c r="O1171" s="84"/>
      <c r="P1171" s="73"/>
      <c r="Q1171" s="84">
        <v>1</v>
      </c>
      <c r="R1171" s="74"/>
      <c r="S1171" s="74"/>
      <c r="T1171" s="75">
        <v>8.5924570372680815</v>
      </c>
      <c r="U1171" s="75">
        <v>3.7597948901601428</v>
      </c>
      <c r="V1171" s="76"/>
      <c r="W1171" s="76">
        <v>0.88</v>
      </c>
      <c r="X1171" s="77">
        <v>168</v>
      </c>
      <c r="Y1171" s="78"/>
      <c r="Z1171" s="79"/>
      <c r="AA1171" s="69"/>
      <c r="AB1171" s="68"/>
      <c r="AC1171" s="68"/>
      <c r="AD1171" s="68"/>
      <c r="AE1171" s="80"/>
      <c r="AF1171" s="80"/>
      <c r="AG1171" s="80"/>
      <c r="AH1171" s="80"/>
      <c r="AI1171" s="81" t="s">
        <v>204</v>
      </c>
      <c r="AJ1171" s="81" t="s">
        <v>83</v>
      </c>
      <c r="AK1171" s="81">
        <v>1997</v>
      </c>
      <c r="AL1171" s="81" t="s">
        <v>84</v>
      </c>
      <c r="AM1171" s="81" t="s">
        <v>174</v>
      </c>
    </row>
    <row r="1172" spans="1:39" s="82" customFormat="1" x14ac:dyDescent="0.3">
      <c r="A1172" s="67">
        <v>114</v>
      </c>
      <c r="B1172" s="68">
        <v>114</v>
      </c>
      <c r="C1172" s="68"/>
      <c r="D1172" s="68">
        <v>0</v>
      </c>
      <c r="E1172" s="68"/>
      <c r="F1172" s="68">
        <v>4</v>
      </c>
      <c r="G1172" s="69">
        <v>6</v>
      </c>
      <c r="H1172" s="68"/>
      <c r="I1172" s="69"/>
      <c r="J1172" s="69"/>
      <c r="K1172" s="20">
        <v>1</v>
      </c>
      <c r="L1172" s="68">
        <v>168</v>
      </c>
      <c r="M1172" s="71"/>
      <c r="N1172" s="72">
        <v>6</v>
      </c>
      <c r="O1172" s="84">
        <v>168</v>
      </c>
      <c r="P1172" s="73">
        <v>0.88</v>
      </c>
      <c r="Q1172" s="84">
        <v>1</v>
      </c>
      <c r="R1172" s="74">
        <v>8.5924570372680815</v>
      </c>
      <c r="S1172" s="74">
        <v>3.7597948901601428</v>
      </c>
      <c r="T1172" s="75"/>
      <c r="U1172" s="75"/>
      <c r="V1172" s="76"/>
      <c r="W1172" s="76"/>
      <c r="X1172" s="77"/>
      <c r="Y1172" s="78">
        <v>0.04</v>
      </c>
      <c r="Z1172" s="79"/>
      <c r="AA1172" s="69"/>
      <c r="AB1172" s="68"/>
      <c r="AC1172" s="68"/>
      <c r="AD1172" s="68"/>
      <c r="AE1172" s="80"/>
      <c r="AF1172" s="80"/>
      <c r="AG1172" s="80"/>
      <c r="AH1172" s="80"/>
      <c r="AI1172" s="81" t="s">
        <v>204</v>
      </c>
      <c r="AJ1172" s="81" t="s">
        <v>83</v>
      </c>
      <c r="AK1172" s="81">
        <v>1997</v>
      </c>
      <c r="AL1172" s="81" t="s">
        <v>84</v>
      </c>
      <c r="AM1172" s="81" t="s">
        <v>174</v>
      </c>
    </row>
    <row r="1173" spans="1:39" s="82" customFormat="1" x14ac:dyDescent="0.3">
      <c r="A1173" s="67">
        <v>86</v>
      </c>
      <c r="B1173" s="68"/>
      <c r="C1173" s="68"/>
      <c r="D1173" s="68">
        <v>0</v>
      </c>
      <c r="E1173" s="68"/>
      <c r="F1173" s="68">
        <v>0</v>
      </c>
      <c r="G1173" s="69"/>
      <c r="H1173" s="68"/>
      <c r="I1173" s="69"/>
      <c r="J1173" s="69"/>
      <c r="K1173" s="20">
        <v>1</v>
      </c>
      <c r="L1173" s="68">
        <v>0</v>
      </c>
      <c r="M1173" s="71"/>
      <c r="N1173" s="72">
        <v>6</v>
      </c>
      <c r="O1173" s="84"/>
      <c r="P1173" s="73"/>
      <c r="Q1173" s="84">
        <v>1</v>
      </c>
      <c r="R1173" s="74"/>
      <c r="S1173" s="74"/>
      <c r="T1173" s="75"/>
      <c r="U1173" s="75"/>
      <c r="V1173" s="76">
        <v>0.22</v>
      </c>
      <c r="W1173" s="76"/>
      <c r="X1173" s="77">
        <v>42</v>
      </c>
      <c r="Y1173" s="78"/>
      <c r="Z1173" s="79"/>
      <c r="AA1173" s="69"/>
      <c r="AB1173" s="68"/>
      <c r="AC1173" s="68"/>
      <c r="AD1173" s="68"/>
      <c r="AE1173" s="80"/>
      <c r="AF1173" s="80"/>
      <c r="AG1173" s="80"/>
      <c r="AH1173" s="80"/>
      <c r="AI1173" s="81" t="s">
        <v>124</v>
      </c>
      <c r="AJ1173" s="81" t="s">
        <v>83</v>
      </c>
      <c r="AK1173" s="81">
        <v>1997</v>
      </c>
      <c r="AL1173" s="81" t="s">
        <v>119</v>
      </c>
      <c r="AM1173" s="81"/>
    </row>
    <row r="1174" spans="1:39" s="82" customFormat="1" x14ac:dyDescent="0.3">
      <c r="A1174" s="67">
        <v>86</v>
      </c>
      <c r="B1174" s="68"/>
      <c r="C1174" s="68"/>
      <c r="D1174" s="68">
        <v>0</v>
      </c>
      <c r="E1174" s="68"/>
      <c r="F1174" s="68">
        <v>1</v>
      </c>
      <c r="G1174" s="69">
        <v>6</v>
      </c>
      <c r="H1174" s="68"/>
      <c r="I1174" s="69"/>
      <c r="J1174" s="69"/>
      <c r="K1174" s="20">
        <v>1</v>
      </c>
      <c r="L1174" s="68">
        <v>42</v>
      </c>
      <c r="M1174" s="71"/>
      <c r="N1174" s="72">
        <v>6</v>
      </c>
      <c r="O1174" s="84"/>
      <c r="P1174" s="73"/>
      <c r="Q1174" s="84">
        <v>1</v>
      </c>
      <c r="R1174" s="74"/>
      <c r="S1174" s="74"/>
      <c r="T1174" s="75"/>
      <c r="U1174" s="75"/>
      <c r="V1174" s="76"/>
      <c r="W1174" s="76">
        <v>0.54</v>
      </c>
      <c r="X1174" s="77">
        <v>70</v>
      </c>
      <c r="Y1174" s="78"/>
      <c r="Z1174" s="79"/>
      <c r="AA1174" s="69"/>
      <c r="AB1174" s="68"/>
      <c r="AC1174" s="68"/>
      <c r="AD1174" s="68"/>
      <c r="AE1174" s="80"/>
      <c r="AF1174" s="80"/>
      <c r="AG1174" s="80"/>
      <c r="AH1174" s="80"/>
      <c r="AI1174" s="81" t="s">
        <v>124</v>
      </c>
      <c r="AJ1174" s="81" t="s">
        <v>83</v>
      </c>
      <c r="AK1174" s="81">
        <v>1997</v>
      </c>
      <c r="AL1174" s="81" t="s">
        <v>119</v>
      </c>
      <c r="AM1174" s="81"/>
    </row>
    <row r="1175" spans="1:39" s="82" customFormat="1" x14ac:dyDescent="0.3">
      <c r="A1175" s="67">
        <v>172</v>
      </c>
      <c r="B1175" s="68"/>
      <c r="C1175" s="68">
        <v>1</v>
      </c>
      <c r="D1175" s="68">
        <v>0</v>
      </c>
      <c r="E1175" s="68">
        <v>40</v>
      </c>
      <c r="F1175" s="68">
        <v>1</v>
      </c>
      <c r="G1175" s="69">
        <v>6</v>
      </c>
      <c r="H1175" s="68"/>
      <c r="I1175" s="69"/>
      <c r="J1175" s="69"/>
      <c r="K1175" s="20">
        <v>1</v>
      </c>
      <c r="L1175" s="68">
        <v>70</v>
      </c>
      <c r="M1175" s="71">
        <v>40</v>
      </c>
      <c r="N1175" s="72">
        <v>6</v>
      </c>
      <c r="O1175" s="84"/>
      <c r="P1175" s="73">
        <v>0.54</v>
      </c>
      <c r="Q1175" s="84">
        <v>1</v>
      </c>
      <c r="R1175" s="74"/>
      <c r="S1175" s="74"/>
      <c r="T1175" s="75"/>
      <c r="U1175" s="75"/>
      <c r="V1175" s="76"/>
      <c r="W1175" s="76">
        <f>112/138</f>
        <v>0.81159420289855078</v>
      </c>
      <c r="X1175" s="77">
        <v>98</v>
      </c>
      <c r="Y1175" s="78"/>
      <c r="Z1175" s="79"/>
      <c r="AA1175" s="69"/>
      <c r="AB1175" s="68"/>
      <c r="AC1175" s="68"/>
      <c r="AD1175" s="68"/>
      <c r="AE1175" s="80"/>
      <c r="AF1175" s="80"/>
      <c r="AG1175" s="80"/>
      <c r="AH1175" s="80"/>
      <c r="AI1175" s="81" t="s">
        <v>124</v>
      </c>
      <c r="AJ1175" s="81" t="s">
        <v>83</v>
      </c>
      <c r="AK1175" s="81">
        <v>1997</v>
      </c>
      <c r="AL1175" s="81" t="s">
        <v>119</v>
      </c>
      <c r="AM1175" s="81"/>
    </row>
    <row r="1176" spans="1:39" s="82" customFormat="1" x14ac:dyDescent="0.3">
      <c r="A1176" s="67">
        <v>172</v>
      </c>
      <c r="B1176" s="68"/>
      <c r="C1176" s="68">
        <v>2</v>
      </c>
      <c r="D1176" s="68">
        <v>0</v>
      </c>
      <c r="E1176" s="68">
        <v>40</v>
      </c>
      <c r="F1176" s="68">
        <v>1</v>
      </c>
      <c r="G1176" s="69">
        <v>6</v>
      </c>
      <c r="H1176" s="68"/>
      <c r="I1176" s="69"/>
      <c r="J1176" s="69"/>
      <c r="K1176" s="20">
        <v>1</v>
      </c>
      <c r="L1176" s="68">
        <v>98</v>
      </c>
      <c r="M1176" s="71">
        <v>40</v>
      </c>
      <c r="N1176" s="72">
        <v>6</v>
      </c>
      <c r="O1176" s="84">
        <v>98</v>
      </c>
      <c r="P1176" s="73">
        <f>112/138</f>
        <v>0.81159420289855078</v>
      </c>
      <c r="Q1176" s="84">
        <v>1</v>
      </c>
      <c r="R1176" s="74"/>
      <c r="S1176" s="74"/>
      <c r="T1176" s="75">
        <v>8.8887432488982601</v>
      </c>
      <c r="U1176" s="75">
        <v>4.2155086889023865</v>
      </c>
      <c r="V1176" s="76"/>
      <c r="W1176" s="76">
        <v>0.95</v>
      </c>
      <c r="X1176" s="77">
        <v>168</v>
      </c>
      <c r="Y1176" s="78"/>
      <c r="Z1176" s="79"/>
      <c r="AA1176" s="69"/>
      <c r="AB1176" s="68"/>
      <c r="AC1176" s="68"/>
      <c r="AD1176" s="68"/>
      <c r="AE1176" s="80"/>
      <c r="AF1176" s="80"/>
      <c r="AG1176" s="80"/>
      <c r="AH1176" s="80"/>
      <c r="AI1176" s="81" t="s">
        <v>124</v>
      </c>
      <c r="AJ1176" s="81" t="s">
        <v>83</v>
      </c>
      <c r="AK1176" s="81">
        <v>1997</v>
      </c>
      <c r="AL1176" s="81" t="s">
        <v>119</v>
      </c>
      <c r="AM1176" s="81"/>
    </row>
    <row r="1177" spans="1:39" x14ac:dyDescent="0.3">
      <c r="A1177" s="1">
        <v>172</v>
      </c>
      <c r="B1177" s="2">
        <v>172</v>
      </c>
      <c r="C1177" s="68">
        <v>3</v>
      </c>
      <c r="D1177" s="2">
        <v>0</v>
      </c>
      <c r="E1177" s="2">
        <v>40</v>
      </c>
      <c r="F1177" s="2">
        <v>1</v>
      </c>
      <c r="G1177" s="3">
        <v>6</v>
      </c>
      <c r="K1177" s="20">
        <v>1</v>
      </c>
      <c r="L1177" s="2">
        <v>168</v>
      </c>
      <c r="N1177" s="6">
        <v>6</v>
      </c>
      <c r="O1177" s="17">
        <v>168</v>
      </c>
      <c r="Q1177" s="84">
        <v>1</v>
      </c>
      <c r="R1177" s="8">
        <v>8.8887432488982601</v>
      </c>
      <c r="S1177" s="8">
        <v>4.2155086889023865</v>
      </c>
      <c r="Y1177" s="12">
        <v>0.11</v>
      </c>
      <c r="AI1177" s="81" t="s">
        <v>124</v>
      </c>
      <c r="AJ1177" s="81" t="s">
        <v>83</v>
      </c>
      <c r="AK1177" s="15">
        <v>1997</v>
      </c>
      <c r="AL1177" s="81" t="s">
        <v>119</v>
      </c>
      <c r="AM1177" s="81"/>
    </row>
    <row r="1178" spans="1:39" x14ac:dyDescent="0.3">
      <c r="A1178" s="1">
        <v>75</v>
      </c>
      <c r="D1178" s="2">
        <v>0</v>
      </c>
      <c r="F1178" s="2">
        <v>0</v>
      </c>
      <c r="K1178" s="4">
        <v>1</v>
      </c>
      <c r="L1178" s="2">
        <v>0</v>
      </c>
      <c r="N1178" s="6">
        <v>6</v>
      </c>
      <c r="Q1178" s="84">
        <v>1</v>
      </c>
      <c r="V1178" s="10">
        <v>0.2</v>
      </c>
      <c r="X1178" s="11">
        <v>42</v>
      </c>
      <c r="AI1178" s="81" t="s">
        <v>202</v>
      </c>
      <c r="AJ1178" s="81" t="s">
        <v>83</v>
      </c>
      <c r="AK1178" s="81">
        <v>1997</v>
      </c>
      <c r="AL1178" s="81" t="s">
        <v>119</v>
      </c>
      <c r="AM1178" s="81" t="s">
        <v>174</v>
      </c>
    </row>
    <row r="1179" spans="1:39" x14ac:dyDescent="0.3">
      <c r="A1179" s="1">
        <v>75</v>
      </c>
      <c r="D1179" s="2">
        <v>0</v>
      </c>
      <c r="F1179" s="2">
        <v>1</v>
      </c>
      <c r="G1179" s="3">
        <v>6</v>
      </c>
      <c r="K1179" s="4">
        <v>1</v>
      </c>
      <c r="L1179" s="2">
        <v>42</v>
      </c>
      <c r="N1179" s="6">
        <v>6</v>
      </c>
      <c r="Q1179" s="84">
        <v>1</v>
      </c>
      <c r="W1179" s="10">
        <v>0.53</v>
      </c>
      <c r="X1179" s="11">
        <v>70</v>
      </c>
      <c r="AI1179" s="81" t="s">
        <v>202</v>
      </c>
      <c r="AJ1179" s="81" t="s">
        <v>83</v>
      </c>
      <c r="AK1179" s="81">
        <v>1997</v>
      </c>
      <c r="AL1179" s="81" t="s">
        <v>119</v>
      </c>
      <c r="AM1179" s="81"/>
    </row>
    <row r="1180" spans="1:39" x14ac:dyDescent="0.3">
      <c r="A1180" s="1">
        <v>150</v>
      </c>
      <c r="D1180" s="2">
        <v>0</v>
      </c>
      <c r="F1180" s="2">
        <v>2</v>
      </c>
      <c r="G1180" s="3">
        <v>6</v>
      </c>
      <c r="K1180" s="4">
        <v>1</v>
      </c>
      <c r="L1180" s="2">
        <v>70</v>
      </c>
      <c r="N1180" s="6">
        <v>6</v>
      </c>
      <c r="P1180" s="7">
        <v>0.53</v>
      </c>
      <c r="Q1180" s="84">
        <v>1</v>
      </c>
      <c r="W1180" s="10">
        <v>0.81</v>
      </c>
      <c r="X1180" s="11">
        <v>98</v>
      </c>
      <c r="AI1180" s="81" t="s">
        <v>202</v>
      </c>
      <c r="AJ1180" s="81" t="s">
        <v>83</v>
      </c>
      <c r="AK1180" s="81">
        <v>1997</v>
      </c>
      <c r="AL1180" s="81" t="s">
        <v>119</v>
      </c>
      <c r="AM1180" s="81"/>
    </row>
    <row r="1181" spans="1:39" x14ac:dyDescent="0.3">
      <c r="A1181" s="1">
        <v>150</v>
      </c>
      <c r="D1181" s="2">
        <v>0</v>
      </c>
      <c r="F1181" s="2">
        <v>3</v>
      </c>
      <c r="G1181" s="3">
        <v>6</v>
      </c>
      <c r="K1181" s="4">
        <v>1</v>
      </c>
      <c r="L1181" s="2">
        <v>98</v>
      </c>
      <c r="N1181" s="6">
        <v>6</v>
      </c>
      <c r="O1181" s="17">
        <v>98</v>
      </c>
      <c r="P1181" s="7">
        <v>0.81</v>
      </c>
      <c r="Q1181" s="84">
        <v>1</v>
      </c>
      <c r="T1181" s="9">
        <v>8.5507467853832431</v>
      </c>
      <c r="U1181" s="9">
        <v>3.9108975321515023</v>
      </c>
      <c r="W1181" s="10">
        <v>0.94</v>
      </c>
      <c r="X1181" s="11">
        <v>168</v>
      </c>
      <c r="AI1181" s="81" t="s">
        <v>202</v>
      </c>
      <c r="AJ1181" s="81" t="s">
        <v>83</v>
      </c>
      <c r="AK1181" s="15">
        <v>1997</v>
      </c>
      <c r="AL1181" s="81" t="s">
        <v>119</v>
      </c>
    </row>
    <row r="1182" spans="1:39" x14ac:dyDescent="0.3">
      <c r="A1182" s="67">
        <v>150</v>
      </c>
      <c r="B1182" s="2">
        <v>150</v>
      </c>
      <c r="D1182" s="68">
        <v>0</v>
      </c>
      <c r="F1182" s="2">
        <v>4</v>
      </c>
      <c r="G1182" s="3">
        <v>6</v>
      </c>
      <c r="K1182" s="4">
        <v>1</v>
      </c>
      <c r="L1182" s="2">
        <v>168</v>
      </c>
      <c r="N1182" s="6">
        <v>6</v>
      </c>
      <c r="O1182" s="17">
        <v>168</v>
      </c>
      <c r="P1182" s="7">
        <v>0.94</v>
      </c>
      <c r="Q1182" s="84">
        <v>1</v>
      </c>
      <c r="R1182" s="8">
        <v>8.5507467853832431</v>
      </c>
      <c r="S1182" s="8">
        <v>3.9108975321515023</v>
      </c>
      <c r="Y1182" s="12">
        <v>0.13</v>
      </c>
      <c r="AI1182" s="81" t="s">
        <v>202</v>
      </c>
      <c r="AJ1182" s="81" t="s">
        <v>83</v>
      </c>
      <c r="AK1182" s="81">
        <v>1997</v>
      </c>
      <c r="AL1182" s="81" t="s">
        <v>119</v>
      </c>
      <c r="AM1182" s="15" t="s">
        <v>174</v>
      </c>
    </row>
    <row r="1183" spans="1:39" x14ac:dyDescent="0.3">
      <c r="A1183" s="67">
        <v>141</v>
      </c>
      <c r="D1183" s="68">
        <v>1</v>
      </c>
      <c r="E1183" s="2">
        <v>40</v>
      </c>
      <c r="F1183" s="2">
        <v>0</v>
      </c>
      <c r="K1183" s="4">
        <v>1</v>
      </c>
      <c r="L1183" s="2">
        <v>70</v>
      </c>
      <c r="M1183" s="5">
        <v>40</v>
      </c>
      <c r="Q1183" s="84">
        <v>1</v>
      </c>
      <c r="W1183" s="10">
        <f>56/141</f>
        <v>0.3971631205673759</v>
      </c>
      <c r="X1183" s="11">
        <v>98</v>
      </c>
      <c r="AI1183" s="81" t="s">
        <v>87</v>
      </c>
      <c r="AJ1183" s="81" t="s">
        <v>83</v>
      </c>
      <c r="AK1183" s="81">
        <v>1997</v>
      </c>
      <c r="AL1183" s="81" t="s">
        <v>85</v>
      </c>
    </row>
    <row r="1184" spans="1:39" x14ac:dyDescent="0.3">
      <c r="A1184" s="67">
        <v>141</v>
      </c>
      <c r="D1184" s="68">
        <v>2</v>
      </c>
      <c r="E1184" s="2">
        <v>40</v>
      </c>
      <c r="F1184" s="2">
        <v>0</v>
      </c>
      <c r="K1184" s="4">
        <v>1</v>
      </c>
      <c r="L1184" s="68">
        <v>98</v>
      </c>
      <c r="M1184" s="5">
        <v>40</v>
      </c>
      <c r="O1184" s="17">
        <v>98</v>
      </c>
      <c r="P1184" s="7">
        <f>56/141</f>
        <v>0.3971631205673759</v>
      </c>
      <c r="Q1184" s="84">
        <v>1</v>
      </c>
      <c r="T1184" s="9">
        <v>5.6</v>
      </c>
      <c r="U1184" s="9">
        <v>4.7</v>
      </c>
      <c r="W1184" s="10">
        <f>94/141</f>
        <v>0.66666666666666663</v>
      </c>
      <c r="X1184" s="11">
        <v>168</v>
      </c>
      <c r="AI1184" s="81" t="s">
        <v>87</v>
      </c>
      <c r="AJ1184" s="81" t="s">
        <v>83</v>
      </c>
      <c r="AK1184" s="81">
        <v>1997</v>
      </c>
      <c r="AL1184" s="81" t="s">
        <v>85</v>
      </c>
    </row>
    <row r="1185" spans="1:39" x14ac:dyDescent="0.3">
      <c r="A1185" s="67">
        <v>141</v>
      </c>
      <c r="B1185" s="2">
        <v>141</v>
      </c>
      <c r="D1185" s="68">
        <v>3</v>
      </c>
      <c r="E1185" s="2">
        <v>40</v>
      </c>
      <c r="F1185" s="2">
        <v>0</v>
      </c>
      <c r="K1185" s="4">
        <v>1</v>
      </c>
      <c r="L1185" s="68">
        <v>168</v>
      </c>
      <c r="N1185" s="6">
        <v>6</v>
      </c>
      <c r="O1185" s="17">
        <v>168</v>
      </c>
      <c r="P1185" s="7">
        <f>94/141</f>
        <v>0.66666666666666663</v>
      </c>
      <c r="Q1185" s="84">
        <v>1</v>
      </c>
      <c r="R1185" s="8">
        <v>5.6</v>
      </c>
      <c r="S1185" s="8">
        <v>4.7</v>
      </c>
      <c r="Y1185" s="12">
        <f>80/141</f>
        <v>0.56737588652482274</v>
      </c>
      <c r="AI1185" s="81" t="s">
        <v>87</v>
      </c>
      <c r="AJ1185" s="81" t="s">
        <v>83</v>
      </c>
      <c r="AK1185" s="81">
        <v>1997</v>
      </c>
      <c r="AL1185" s="81" t="s">
        <v>85</v>
      </c>
    </row>
    <row r="1186" spans="1:39" s="82" customFormat="1" x14ac:dyDescent="0.3">
      <c r="A1186" s="67">
        <v>128</v>
      </c>
      <c r="B1186" s="68"/>
      <c r="C1186" s="68">
        <v>1</v>
      </c>
      <c r="D1186" s="68">
        <v>0</v>
      </c>
      <c r="E1186" s="68">
        <v>40</v>
      </c>
      <c r="F1186" s="68">
        <v>1</v>
      </c>
      <c r="G1186" s="69">
        <v>6</v>
      </c>
      <c r="H1186" s="68"/>
      <c r="I1186" s="69"/>
      <c r="J1186" s="69"/>
      <c r="K1186" s="70">
        <v>1</v>
      </c>
      <c r="L1186" s="68">
        <v>70</v>
      </c>
      <c r="M1186" s="71">
        <v>40</v>
      </c>
      <c r="N1186" s="72">
        <v>6</v>
      </c>
      <c r="O1186" s="84"/>
      <c r="P1186" s="73"/>
      <c r="Q1186" s="84">
        <v>1</v>
      </c>
      <c r="R1186" s="74"/>
      <c r="S1186" s="74"/>
      <c r="T1186" s="75"/>
      <c r="U1186" s="75"/>
      <c r="V1186" s="76"/>
      <c r="W1186" s="76">
        <f>120/128</f>
        <v>0.9375</v>
      </c>
      <c r="X1186" s="77">
        <v>98</v>
      </c>
      <c r="Y1186" s="78"/>
      <c r="Z1186" s="79"/>
      <c r="AA1186" s="69"/>
      <c r="AB1186" s="68"/>
      <c r="AC1186" s="68"/>
      <c r="AD1186" s="68"/>
      <c r="AE1186" s="80"/>
      <c r="AF1186" s="80"/>
      <c r="AG1186" s="80"/>
      <c r="AH1186" s="80"/>
      <c r="AI1186" s="81" t="s">
        <v>122</v>
      </c>
      <c r="AJ1186" s="81" t="s">
        <v>83</v>
      </c>
      <c r="AK1186" s="81">
        <v>1997</v>
      </c>
      <c r="AL1186" s="81" t="s">
        <v>85</v>
      </c>
      <c r="AM1186" s="81"/>
    </row>
    <row r="1187" spans="1:39" s="82" customFormat="1" x14ac:dyDescent="0.3">
      <c r="A1187" s="67">
        <v>128</v>
      </c>
      <c r="B1187" s="68"/>
      <c r="C1187" s="68">
        <v>2</v>
      </c>
      <c r="D1187" s="68">
        <v>0</v>
      </c>
      <c r="E1187" s="68">
        <v>40</v>
      </c>
      <c r="F1187" s="68">
        <v>1</v>
      </c>
      <c r="G1187" s="69">
        <v>6</v>
      </c>
      <c r="H1187" s="68"/>
      <c r="I1187" s="69"/>
      <c r="J1187" s="69"/>
      <c r="K1187" s="70">
        <v>1</v>
      </c>
      <c r="L1187" s="68">
        <v>98</v>
      </c>
      <c r="M1187" s="71">
        <v>40</v>
      </c>
      <c r="N1187" s="72">
        <v>6</v>
      </c>
      <c r="O1187" s="84">
        <v>98</v>
      </c>
      <c r="P1187" s="73">
        <f>120/128</f>
        <v>0.9375</v>
      </c>
      <c r="Q1187" s="84">
        <v>1</v>
      </c>
      <c r="R1187" s="74"/>
      <c r="S1187" s="74"/>
      <c r="T1187" s="75">
        <v>9.7142455176661215</v>
      </c>
      <c r="U1187" s="75">
        <v>1.4726502203681822</v>
      </c>
      <c r="V1187" s="76"/>
      <c r="W1187" s="76">
        <v>0.99</v>
      </c>
      <c r="X1187" s="77">
        <v>168</v>
      </c>
      <c r="Y1187" s="78"/>
      <c r="Z1187" s="79"/>
      <c r="AA1187" s="69"/>
      <c r="AB1187" s="68"/>
      <c r="AC1187" s="68"/>
      <c r="AD1187" s="68"/>
      <c r="AE1187" s="80"/>
      <c r="AF1187" s="80"/>
      <c r="AG1187" s="80"/>
      <c r="AH1187" s="80"/>
      <c r="AI1187" s="81" t="s">
        <v>122</v>
      </c>
      <c r="AJ1187" s="81" t="s">
        <v>83</v>
      </c>
      <c r="AK1187" s="81">
        <v>1997</v>
      </c>
      <c r="AL1187" s="81" t="s">
        <v>85</v>
      </c>
      <c r="AM1187" s="81"/>
    </row>
    <row r="1188" spans="1:39" s="82" customFormat="1" x14ac:dyDescent="0.3">
      <c r="A1188" s="67">
        <v>128</v>
      </c>
      <c r="B1188" s="68">
        <v>128</v>
      </c>
      <c r="C1188" s="68">
        <v>3</v>
      </c>
      <c r="D1188" s="68">
        <v>0</v>
      </c>
      <c r="E1188" s="68">
        <v>40</v>
      </c>
      <c r="F1188" s="68">
        <v>1</v>
      </c>
      <c r="G1188" s="69">
        <v>6</v>
      </c>
      <c r="H1188" s="68"/>
      <c r="I1188" s="69"/>
      <c r="J1188" s="69"/>
      <c r="K1188" s="70">
        <v>1</v>
      </c>
      <c r="L1188" s="68">
        <v>168</v>
      </c>
      <c r="M1188" s="71"/>
      <c r="N1188" s="72">
        <v>6</v>
      </c>
      <c r="O1188" s="84">
        <v>168</v>
      </c>
      <c r="P1188" s="73"/>
      <c r="Q1188" s="84">
        <v>1</v>
      </c>
      <c r="R1188" s="74">
        <v>9.7142455176661215</v>
      </c>
      <c r="S1188" s="74">
        <v>1.4726502203681822</v>
      </c>
      <c r="T1188" s="75"/>
      <c r="U1188" s="75"/>
      <c r="V1188" s="76"/>
      <c r="W1188" s="76"/>
      <c r="X1188" s="77"/>
      <c r="Y1188" s="78">
        <v>0.14000000000000001</v>
      </c>
      <c r="Z1188" s="79"/>
      <c r="AA1188" s="69"/>
      <c r="AB1188" s="68"/>
      <c r="AC1188" s="68"/>
      <c r="AD1188" s="68"/>
      <c r="AE1188" s="80"/>
      <c r="AF1188" s="80"/>
      <c r="AG1188" s="80"/>
      <c r="AH1188" s="80"/>
      <c r="AI1188" s="81" t="s">
        <v>122</v>
      </c>
      <c r="AJ1188" s="81" t="s">
        <v>83</v>
      </c>
      <c r="AK1188" s="81">
        <v>1997</v>
      </c>
      <c r="AL1188" s="81" t="s">
        <v>85</v>
      </c>
      <c r="AM1188" s="81"/>
    </row>
    <row r="1189" spans="1:39" s="82" customFormat="1" x14ac:dyDescent="0.3">
      <c r="A1189" s="67">
        <v>128</v>
      </c>
      <c r="B1189" s="68"/>
      <c r="C1189" s="68"/>
      <c r="D1189" s="68">
        <v>0</v>
      </c>
      <c r="E1189" s="68"/>
      <c r="F1189" s="68">
        <v>2</v>
      </c>
      <c r="G1189" s="69">
        <v>6</v>
      </c>
      <c r="H1189" s="68"/>
      <c r="I1189" s="69"/>
      <c r="J1189" s="69"/>
      <c r="K1189" s="70">
        <v>1</v>
      </c>
      <c r="L1189" s="68">
        <v>70</v>
      </c>
      <c r="M1189" s="71"/>
      <c r="N1189" s="72">
        <v>6</v>
      </c>
      <c r="O1189" s="84"/>
      <c r="P1189" s="73"/>
      <c r="Q1189" s="84">
        <v>1</v>
      </c>
      <c r="R1189" s="74"/>
      <c r="S1189" s="74"/>
      <c r="T1189" s="75"/>
      <c r="U1189" s="75"/>
      <c r="V1189" s="76"/>
      <c r="W1189" s="76">
        <v>0.94</v>
      </c>
      <c r="X1189" s="77">
        <v>98</v>
      </c>
      <c r="Y1189" s="78"/>
      <c r="Z1189" s="79"/>
      <c r="AA1189" s="69"/>
      <c r="AB1189" s="68"/>
      <c r="AC1189" s="68"/>
      <c r="AD1189" s="68"/>
      <c r="AE1189" s="80"/>
      <c r="AF1189" s="80"/>
      <c r="AG1189" s="80"/>
      <c r="AH1189" s="80"/>
      <c r="AI1189" s="81" t="s">
        <v>203</v>
      </c>
      <c r="AJ1189" s="81" t="s">
        <v>83</v>
      </c>
      <c r="AK1189" s="81">
        <v>1997</v>
      </c>
      <c r="AL1189" s="81" t="s">
        <v>85</v>
      </c>
      <c r="AM1189" s="81"/>
    </row>
    <row r="1190" spans="1:39" s="82" customFormat="1" x14ac:dyDescent="0.3">
      <c r="A1190" s="67">
        <v>128</v>
      </c>
      <c r="B1190" s="68"/>
      <c r="C1190" s="68"/>
      <c r="D1190" s="68">
        <v>0</v>
      </c>
      <c r="E1190" s="68"/>
      <c r="F1190" s="68">
        <v>3</v>
      </c>
      <c r="G1190" s="69">
        <v>6</v>
      </c>
      <c r="H1190" s="68"/>
      <c r="I1190" s="69"/>
      <c r="J1190" s="69"/>
      <c r="K1190" s="70">
        <v>1</v>
      </c>
      <c r="L1190" s="68">
        <v>98</v>
      </c>
      <c r="M1190" s="71"/>
      <c r="N1190" s="72">
        <v>6</v>
      </c>
      <c r="O1190" s="84">
        <v>98</v>
      </c>
      <c r="P1190" s="73">
        <v>0.94</v>
      </c>
      <c r="Q1190" s="84">
        <v>1</v>
      </c>
      <c r="R1190" s="74"/>
      <c r="S1190" s="74"/>
      <c r="T1190" s="75">
        <v>9.4115109880120702</v>
      </c>
      <c r="U1190" s="75">
        <v>2.6503042924358646</v>
      </c>
      <c r="V1190" s="76"/>
      <c r="W1190" s="76">
        <v>0.98</v>
      </c>
      <c r="X1190" s="77">
        <v>168</v>
      </c>
      <c r="Y1190" s="78"/>
      <c r="Z1190" s="79"/>
      <c r="AA1190" s="69"/>
      <c r="AB1190" s="68"/>
      <c r="AC1190" s="68"/>
      <c r="AD1190" s="68"/>
      <c r="AE1190" s="80"/>
      <c r="AF1190" s="80"/>
      <c r="AG1190" s="80"/>
      <c r="AH1190" s="80"/>
      <c r="AI1190" s="81" t="s">
        <v>203</v>
      </c>
      <c r="AJ1190" s="81" t="s">
        <v>83</v>
      </c>
      <c r="AK1190" s="81">
        <v>1997</v>
      </c>
      <c r="AL1190" s="81" t="s">
        <v>85</v>
      </c>
      <c r="AM1190" s="81"/>
    </row>
    <row r="1191" spans="1:39" s="82" customFormat="1" x14ac:dyDescent="0.3">
      <c r="A1191" s="67">
        <v>128</v>
      </c>
      <c r="B1191" s="68">
        <v>128</v>
      </c>
      <c r="C1191" s="68"/>
      <c r="D1191" s="68">
        <v>0</v>
      </c>
      <c r="E1191" s="68"/>
      <c r="F1191" s="68">
        <v>4</v>
      </c>
      <c r="G1191" s="69">
        <v>6</v>
      </c>
      <c r="H1191" s="68"/>
      <c r="I1191" s="69"/>
      <c r="J1191" s="69"/>
      <c r="K1191" s="70">
        <v>1</v>
      </c>
      <c r="L1191" s="68">
        <v>168</v>
      </c>
      <c r="M1191" s="71"/>
      <c r="N1191" s="72">
        <v>6</v>
      </c>
      <c r="O1191" s="84">
        <v>168</v>
      </c>
      <c r="P1191" s="73">
        <v>0.98</v>
      </c>
      <c r="Q1191" s="84">
        <v>1</v>
      </c>
      <c r="R1191" s="74">
        <v>9.4115109880120702</v>
      </c>
      <c r="S1191" s="74">
        <v>2.6503042924358646</v>
      </c>
      <c r="T1191" s="75"/>
      <c r="U1191" s="75"/>
      <c r="V1191" s="76"/>
      <c r="W1191" s="76"/>
      <c r="X1191" s="77"/>
      <c r="Y1191" s="78">
        <v>0.14000000000000001</v>
      </c>
      <c r="Z1191" s="79"/>
      <c r="AA1191" s="69"/>
      <c r="AB1191" s="68"/>
      <c r="AC1191" s="68"/>
      <c r="AD1191" s="68"/>
      <c r="AE1191" s="80"/>
      <c r="AF1191" s="80"/>
      <c r="AG1191" s="80"/>
      <c r="AH1191" s="80"/>
      <c r="AI1191" s="81" t="s">
        <v>203</v>
      </c>
      <c r="AJ1191" s="81" t="s">
        <v>83</v>
      </c>
      <c r="AK1191" s="81">
        <v>1997</v>
      </c>
      <c r="AL1191" s="81" t="s">
        <v>85</v>
      </c>
      <c r="AM1191" s="81" t="s">
        <v>174</v>
      </c>
    </row>
    <row r="1192" spans="1:39" s="82" customFormat="1" x14ac:dyDescent="0.3">
      <c r="A1192" s="67">
        <v>107</v>
      </c>
      <c r="B1192" s="68"/>
      <c r="C1192" s="68"/>
      <c r="D1192" s="68">
        <v>2</v>
      </c>
      <c r="E1192" s="68">
        <v>8</v>
      </c>
      <c r="F1192" s="68">
        <v>0</v>
      </c>
      <c r="G1192" s="69"/>
      <c r="H1192" s="68"/>
      <c r="I1192" s="69"/>
      <c r="J1192" s="69"/>
      <c r="K1192" s="70">
        <v>2</v>
      </c>
      <c r="L1192" s="68">
        <v>98</v>
      </c>
      <c r="M1192" s="71">
        <v>8</v>
      </c>
      <c r="N1192" s="72"/>
      <c r="O1192" s="84"/>
      <c r="P1192" s="73"/>
      <c r="Q1192" s="84">
        <v>1</v>
      </c>
      <c r="R1192" s="74"/>
      <c r="S1192" s="74"/>
      <c r="T1192" s="75">
        <v>7.2</v>
      </c>
      <c r="U1192" s="75">
        <v>6.5</v>
      </c>
      <c r="V1192" s="76"/>
      <c r="W1192" s="76">
        <f>88/107</f>
        <v>0.82242990654205606</v>
      </c>
      <c r="X1192" s="77">
        <v>168</v>
      </c>
      <c r="Y1192" s="78"/>
      <c r="Z1192" s="79"/>
      <c r="AA1192" s="69"/>
      <c r="AB1192" s="68"/>
      <c r="AC1192" s="68"/>
      <c r="AD1192" s="68"/>
      <c r="AE1192" s="80"/>
      <c r="AF1192" s="80"/>
      <c r="AG1192" s="80"/>
      <c r="AH1192" s="80"/>
      <c r="AI1192" s="81" t="s">
        <v>86</v>
      </c>
      <c r="AJ1192" s="81" t="s">
        <v>83</v>
      </c>
      <c r="AK1192" s="81">
        <v>1997</v>
      </c>
      <c r="AL1192" s="81" t="s">
        <v>84</v>
      </c>
      <c r="AM1192" s="81"/>
    </row>
    <row r="1193" spans="1:39" s="82" customFormat="1" x14ac:dyDescent="0.3">
      <c r="A1193" s="67">
        <v>118</v>
      </c>
      <c r="B1193" s="68"/>
      <c r="C1193" s="68">
        <v>2</v>
      </c>
      <c r="D1193" s="68">
        <v>0</v>
      </c>
      <c r="E1193" s="68">
        <v>8</v>
      </c>
      <c r="F1193" s="68">
        <v>1</v>
      </c>
      <c r="G1193" s="69">
        <v>5</v>
      </c>
      <c r="H1193" s="68"/>
      <c r="I1193" s="69"/>
      <c r="J1193" s="69"/>
      <c r="K1193" s="20">
        <v>2</v>
      </c>
      <c r="L1193" s="68">
        <v>98</v>
      </c>
      <c r="M1193" s="71">
        <v>8</v>
      </c>
      <c r="N1193" s="72">
        <v>5</v>
      </c>
      <c r="O1193" s="84"/>
      <c r="P1193" s="73"/>
      <c r="Q1193" s="84">
        <v>1</v>
      </c>
      <c r="R1193" s="74"/>
      <c r="S1193" s="74"/>
      <c r="T1193" s="75">
        <v>9.539158811108031</v>
      </c>
      <c r="U1193" s="75">
        <v>1.3987263973572184</v>
      </c>
      <c r="V1193" s="76"/>
      <c r="W1193" s="76">
        <v>1</v>
      </c>
      <c r="X1193" s="77">
        <v>168</v>
      </c>
      <c r="Y1193" s="78"/>
      <c r="Z1193" s="79"/>
      <c r="AA1193" s="69"/>
      <c r="AB1193" s="68"/>
      <c r="AC1193" s="68"/>
      <c r="AD1193" s="68"/>
      <c r="AE1193" s="80"/>
      <c r="AF1193" s="80"/>
      <c r="AG1193" s="80"/>
      <c r="AH1193" s="80"/>
      <c r="AI1193" s="81" t="s">
        <v>123</v>
      </c>
      <c r="AJ1193" s="81" t="s">
        <v>83</v>
      </c>
      <c r="AK1193" s="81">
        <v>1997</v>
      </c>
      <c r="AL1193" s="81" t="s">
        <v>84</v>
      </c>
      <c r="AM1193" s="81"/>
    </row>
    <row r="1194" spans="1:39" s="82" customFormat="1" x14ac:dyDescent="0.3">
      <c r="A1194" s="67">
        <v>114</v>
      </c>
      <c r="B1194" s="68"/>
      <c r="C1194" s="68"/>
      <c r="D1194" s="68">
        <v>0</v>
      </c>
      <c r="E1194" s="68"/>
      <c r="F1194" s="68">
        <v>3</v>
      </c>
      <c r="G1194" s="69">
        <v>5</v>
      </c>
      <c r="H1194" s="68"/>
      <c r="I1194" s="69"/>
      <c r="J1194" s="69"/>
      <c r="K1194" s="20">
        <v>2</v>
      </c>
      <c r="L1194" s="68">
        <v>98</v>
      </c>
      <c r="M1194" s="71"/>
      <c r="N1194" s="72">
        <v>5</v>
      </c>
      <c r="O1194" s="84"/>
      <c r="P1194" s="73"/>
      <c r="Q1194" s="84">
        <v>1</v>
      </c>
      <c r="R1194" s="74"/>
      <c r="S1194" s="74"/>
      <c r="T1194" s="75">
        <v>9.221587121264804</v>
      </c>
      <c r="U1194" s="75">
        <v>2.2277404114743793</v>
      </c>
      <c r="V1194" s="76"/>
      <c r="W1194" s="76">
        <v>0.97</v>
      </c>
      <c r="X1194" s="77">
        <v>168</v>
      </c>
      <c r="Y1194" s="78"/>
      <c r="Z1194" s="79"/>
      <c r="AA1194" s="69"/>
      <c r="AB1194" s="68"/>
      <c r="AC1194" s="68"/>
      <c r="AD1194" s="68"/>
      <c r="AE1194" s="80"/>
      <c r="AF1194" s="80"/>
      <c r="AG1194" s="80"/>
      <c r="AH1194" s="80"/>
      <c r="AI1194" s="81" t="s">
        <v>204</v>
      </c>
      <c r="AJ1194" s="81" t="s">
        <v>83</v>
      </c>
      <c r="AK1194" s="81">
        <v>1997</v>
      </c>
      <c r="AL1194" s="81" t="s">
        <v>84</v>
      </c>
      <c r="AM1194" s="81" t="s">
        <v>174</v>
      </c>
    </row>
    <row r="1195" spans="1:39" s="82" customFormat="1" x14ac:dyDescent="0.3">
      <c r="A1195" s="67">
        <v>86</v>
      </c>
      <c r="B1195" s="68"/>
      <c r="C1195" s="68"/>
      <c r="D1195" s="68">
        <v>0</v>
      </c>
      <c r="E1195" s="68"/>
      <c r="F1195" s="68">
        <v>0</v>
      </c>
      <c r="G1195" s="69"/>
      <c r="H1195" s="68"/>
      <c r="I1195" s="69"/>
      <c r="J1195" s="69"/>
      <c r="K1195" s="20">
        <v>2</v>
      </c>
      <c r="L1195" s="68">
        <v>0</v>
      </c>
      <c r="M1195" s="71"/>
      <c r="N1195" s="72">
        <v>5</v>
      </c>
      <c r="O1195" s="84"/>
      <c r="P1195" s="73"/>
      <c r="Q1195" s="84">
        <v>1</v>
      </c>
      <c r="R1195" s="74"/>
      <c r="S1195" s="74"/>
      <c r="T1195" s="75"/>
      <c r="U1195" s="75"/>
      <c r="V1195" s="76">
        <v>0.53</v>
      </c>
      <c r="W1195" s="76"/>
      <c r="X1195" s="77">
        <v>42</v>
      </c>
      <c r="Y1195" s="78"/>
      <c r="Z1195" s="79"/>
      <c r="AA1195" s="69"/>
      <c r="AB1195" s="68"/>
      <c r="AC1195" s="68"/>
      <c r="AD1195" s="68"/>
      <c r="AE1195" s="80"/>
      <c r="AF1195" s="80"/>
      <c r="AG1195" s="80"/>
      <c r="AH1195" s="80"/>
      <c r="AI1195" s="81" t="s">
        <v>124</v>
      </c>
      <c r="AJ1195" s="81" t="s">
        <v>83</v>
      </c>
      <c r="AK1195" s="81">
        <v>1997</v>
      </c>
      <c r="AL1195" s="81" t="s">
        <v>119</v>
      </c>
      <c r="AM1195" s="81"/>
    </row>
    <row r="1196" spans="1:39" x14ac:dyDescent="0.3">
      <c r="A1196" s="1">
        <v>86</v>
      </c>
      <c r="D1196" s="2">
        <v>0</v>
      </c>
      <c r="F1196" s="68">
        <v>1</v>
      </c>
      <c r="G1196" s="3">
        <v>5</v>
      </c>
      <c r="K1196" s="20">
        <v>2</v>
      </c>
      <c r="L1196" s="2">
        <v>42</v>
      </c>
      <c r="N1196" s="6">
        <v>5</v>
      </c>
      <c r="Q1196" s="84">
        <v>1</v>
      </c>
      <c r="W1196" s="10">
        <v>0.9</v>
      </c>
      <c r="X1196" s="11">
        <v>70</v>
      </c>
      <c r="AI1196" s="81" t="s">
        <v>124</v>
      </c>
      <c r="AJ1196" s="81" t="s">
        <v>83</v>
      </c>
      <c r="AK1196" s="15">
        <v>1997</v>
      </c>
      <c r="AL1196" s="81" t="s">
        <v>119</v>
      </c>
    </row>
    <row r="1197" spans="1:39" s="82" customFormat="1" x14ac:dyDescent="0.3">
      <c r="A1197" s="67">
        <v>172</v>
      </c>
      <c r="B1197" s="68"/>
      <c r="C1197" s="68">
        <v>1</v>
      </c>
      <c r="D1197" s="68">
        <v>0</v>
      </c>
      <c r="E1197" s="68">
        <v>8</v>
      </c>
      <c r="F1197" s="68">
        <v>1</v>
      </c>
      <c r="G1197" s="69">
        <v>5</v>
      </c>
      <c r="H1197" s="68"/>
      <c r="I1197" s="69"/>
      <c r="J1197" s="69"/>
      <c r="K1197" s="20">
        <v>2</v>
      </c>
      <c r="L1197" s="68">
        <v>70</v>
      </c>
      <c r="M1197" s="71">
        <v>8</v>
      </c>
      <c r="N1197" s="72">
        <v>5</v>
      </c>
      <c r="O1197" s="84"/>
      <c r="P1197" s="73"/>
      <c r="Q1197" s="84">
        <v>1</v>
      </c>
      <c r="R1197" s="74"/>
      <c r="S1197" s="74"/>
      <c r="T1197" s="75"/>
      <c r="U1197" s="75"/>
      <c r="V1197" s="76"/>
      <c r="W1197" s="76">
        <f>136/138</f>
        <v>0.98550724637681164</v>
      </c>
      <c r="X1197" s="77">
        <v>98</v>
      </c>
      <c r="Y1197" s="78"/>
      <c r="Z1197" s="79"/>
      <c r="AA1197" s="69"/>
      <c r="AB1197" s="68"/>
      <c r="AC1197" s="68"/>
      <c r="AD1197" s="68"/>
      <c r="AE1197" s="80"/>
      <c r="AF1197" s="80"/>
      <c r="AG1197" s="80"/>
      <c r="AH1197" s="80"/>
      <c r="AI1197" s="81" t="s">
        <v>124</v>
      </c>
      <c r="AJ1197" s="81" t="s">
        <v>83</v>
      </c>
      <c r="AK1197" s="81">
        <v>1997</v>
      </c>
      <c r="AL1197" s="81" t="s">
        <v>119</v>
      </c>
      <c r="AM1197" s="81"/>
    </row>
    <row r="1198" spans="1:39" x14ac:dyDescent="0.3">
      <c r="A1198" s="67">
        <v>172</v>
      </c>
      <c r="C1198" s="68">
        <v>2</v>
      </c>
      <c r="D1198" s="2">
        <v>0</v>
      </c>
      <c r="E1198" s="2">
        <v>8</v>
      </c>
      <c r="F1198" s="68">
        <v>1</v>
      </c>
      <c r="G1198" s="3">
        <v>5</v>
      </c>
      <c r="K1198" s="20">
        <v>2</v>
      </c>
      <c r="L1198" s="2">
        <v>98</v>
      </c>
      <c r="M1198" s="5">
        <v>8</v>
      </c>
      <c r="N1198" s="6">
        <v>5</v>
      </c>
      <c r="O1198" s="17">
        <v>98</v>
      </c>
      <c r="P1198" s="7">
        <f>136/138</f>
        <v>0.98550724637681164</v>
      </c>
      <c r="Q1198" s="84">
        <v>1</v>
      </c>
      <c r="T1198" s="9">
        <v>9.9395792143146924</v>
      </c>
      <c r="U1198" s="9">
        <v>0.92984459894187599</v>
      </c>
      <c r="W1198" s="10">
        <v>0.99</v>
      </c>
      <c r="X1198" s="11">
        <v>168</v>
      </c>
      <c r="AI1198" s="81" t="s">
        <v>124</v>
      </c>
      <c r="AJ1198" s="81" t="s">
        <v>83</v>
      </c>
      <c r="AK1198" s="81">
        <v>1997</v>
      </c>
      <c r="AL1198" s="81" t="s">
        <v>119</v>
      </c>
    </row>
    <row r="1199" spans="1:39" s="82" customFormat="1" x14ac:dyDescent="0.3">
      <c r="A1199" s="67">
        <v>75</v>
      </c>
      <c r="B1199" s="68"/>
      <c r="C1199" s="68"/>
      <c r="D1199" s="68">
        <v>0</v>
      </c>
      <c r="E1199" s="68"/>
      <c r="F1199" s="68">
        <v>0</v>
      </c>
      <c r="G1199" s="69"/>
      <c r="H1199" s="68"/>
      <c r="I1199" s="69"/>
      <c r="J1199" s="69"/>
      <c r="K1199" s="70">
        <v>2</v>
      </c>
      <c r="L1199" s="68">
        <v>0</v>
      </c>
      <c r="M1199" s="71"/>
      <c r="N1199" s="72">
        <v>5</v>
      </c>
      <c r="O1199" s="84"/>
      <c r="P1199" s="73"/>
      <c r="Q1199" s="84">
        <v>1</v>
      </c>
      <c r="R1199" s="74"/>
      <c r="S1199" s="74"/>
      <c r="T1199" s="75"/>
      <c r="U1199" s="75"/>
      <c r="V1199" s="76">
        <v>0.68</v>
      </c>
      <c r="W1199" s="76"/>
      <c r="X1199" s="77">
        <v>42</v>
      </c>
      <c r="Y1199" s="78"/>
      <c r="Z1199" s="79"/>
      <c r="AA1199" s="69"/>
      <c r="AB1199" s="68"/>
      <c r="AC1199" s="68"/>
      <c r="AD1199" s="68"/>
      <c r="AE1199" s="80"/>
      <c r="AF1199" s="80"/>
      <c r="AG1199" s="80"/>
      <c r="AH1199" s="80"/>
      <c r="AI1199" s="81" t="s">
        <v>202</v>
      </c>
      <c r="AJ1199" s="81" t="s">
        <v>83</v>
      </c>
      <c r="AK1199" s="81">
        <v>1997</v>
      </c>
      <c r="AL1199" s="81" t="s">
        <v>119</v>
      </c>
      <c r="AM1199" s="81" t="s">
        <v>174</v>
      </c>
    </row>
    <row r="1200" spans="1:39" s="82" customFormat="1" x14ac:dyDescent="0.3">
      <c r="A1200" s="67">
        <v>75</v>
      </c>
      <c r="B1200" s="68"/>
      <c r="C1200" s="68"/>
      <c r="D1200" s="68">
        <v>0</v>
      </c>
      <c r="E1200" s="68"/>
      <c r="F1200" s="68">
        <v>1</v>
      </c>
      <c r="G1200" s="69">
        <v>5</v>
      </c>
      <c r="H1200" s="68"/>
      <c r="I1200" s="69"/>
      <c r="J1200" s="69"/>
      <c r="K1200" s="70">
        <v>2</v>
      </c>
      <c r="L1200" s="68">
        <v>42</v>
      </c>
      <c r="M1200" s="71"/>
      <c r="N1200" s="72">
        <v>5</v>
      </c>
      <c r="O1200" s="84"/>
      <c r="P1200" s="73"/>
      <c r="Q1200" s="84">
        <v>1</v>
      </c>
      <c r="R1200" s="74"/>
      <c r="S1200" s="74"/>
      <c r="T1200" s="75"/>
      <c r="U1200" s="75"/>
      <c r="V1200" s="76"/>
      <c r="W1200" s="76">
        <v>0.9</v>
      </c>
      <c r="X1200" s="77">
        <v>70</v>
      </c>
      <c r="Y1200" s="78"/>
      <c r="Z1200" s="79"/>
      <c r="AA1200" s="69"/>
      <c r="AB1200" s="68"/>
      <c r="AC1200" s="68"/>
      <c r="AD1200" s="68"/>
      <c r="AE1200" s="80"/>
      <c r="AF1200" s="80"/>
      <c r="AG1200" s="80"/>
      <c r="AH1200" s="80"/>
      <c r="AI1200" s="81" t="s">
        <v>202</v>
      </c>
      <c r="AJ1200" s="81" t="s">
        <v>83</v>
      </c>
      <c r="AK1200" s="81">
        <v>1997</v>
      </c>
      <c r="AL1200" s="81" t="s">
        <v>119</v>
      </c>
      <c r="AM1200" s="81" t="s">
        <v>174</v>
      </c>
    </row>
    <row r="1201" spans="1:39" s="82" customFormat="1" x14ac:dyDescent="0.3">
      <c r="A1201" s="67">
        <v>150</v>
      </c>
      <c r="B1201" s="68"/>
      <c r="C1201" s="68"/>
      <c r="D1201" s="68">
        <v>0</v>
      </c>
      <c r="E1201" s="68"/>
      <c r="F1201" s="68">
        <v>2</v>
      </c>
      <c r="G1201" s="69">
        <v>5</v>
      </c>
      <c r="H1201" s="68"/>
      <c r="I1201" s="69"/>
      <c r="J1201" s="69"/>
      <c r="K1201" s="70">
        <v>2</v>
      </c>
      <c r="L1201" s="68">
        <v>70</v>
      </c>
      <c r="M1201" s="71"/>
      <c r="N1201" s="72">
        <v>5</v>
      </c>
      <c r="O1201" s="84"/>
      <c r="P1201" s="73"/>
      <c r="Q1201" s="84">
        <v>1</v>
      </c>
      <c r="R1201" s="74"/>
      <c r="S1201" s="74"/>
      <c r="T1201" s="75"/>
      <c r="U1201" s="75"/>
      <c r="V1201" s="76"/>
      <c r="W1201" s="76">
        <v>0.97</v>
      </c>
      <c r="X1201" s="77">
        <v>98</v>
      </c>
      <c r="Y1201" s="78"/>
      <c r="Z1201" s="79"/>
      <c r="AA1201" s="69"/>
      <c r="AB1201" s="68"/>
      <c r="AC1201" s="68"/>
      <c r="AD1201" s="68"/>
      <c r="AE1201" s="80"/>
      <c r="AF1201" s="80"/>
      <c r="AG1201" s="80"/>
      <c r="AH1201" s="80"/>
      <c r="AI1201" s="81" t="s">
        <v>202</v>
      </c>
      <c r="AJ1201" s="81" t="s">
        <v>83</v>
      </c>
      <c r="AK1201" s="81">
        <v>1997</v>
      </c>
      <c r="AL1201" s="81" t="s">
        <v>119</v>
      </c>
      <c r="AM1201" s="81"/>
    </row>
    <row r="1202" spans="1:39" s="82" customFormat="1" x14ac:dyDescent="0.3">
      <c r="A1202" s="67">
        <v>150</v>
      </c>
      <c r="B1202" s="68"/>
      <c r="C1202" s="68"/>
      <c r="D1202" s="68">
        <v>0</v>
      </c>
      <c r="E1202" s="68"/>
      <c r="F1202" s="68">
        <v>3</v>
      </c>
      <c r="G1202" s="69">
        <v>5</v>
      </c>
      <c r="H1202" s="68"/>
      <c r="I1202" s="69"/>
      <c r="J1202" s="69"/>
      <c r="K1202" s="70">
        <v>2</v>
      </c>
      <c r="L1202" s="68">
        <v>98</v>
      </c>
      <c r="M1202" s="71"/>
      <c r="N1202" s="72">
        <v>5</v>
      </c>
      <c r="O1202" s="84">
        <v>98</v>
      </c>
      <c r="P1202" s="73">
        <v>0.97</v>
      </c>
      <c r="Q1202" s="84">
        <v>1</v>
      </c>
      <c r="R1202" s="74"/>
      <c r="S1202" s="74"/>
      <c r="T1202" s="75">
        <v>9.4878400338230513</v>
      </c>
      <c r="U1202" s="75">
        <v>2.1553109622232167</v>
      </c>
      <c r="V1202" s="76"/>
      <c r="W1202" s="76">
        <v>0.99</v>
      </c>
      <c r="X1202" s="77">
        <v>168</v>
      </c>
      <c r="Y1202" s="78"/>
      <c r="Z1202" s="79"/>
      <c r="AA1202" s="69"/>
      <c r="AB1202" s="68"/>
      <c r="AC1202" s="68"/>
      <c r="AD1202" s="68"/>
      <c r="AE1202" s="80"/>
      <c r="AF1202" s="80"/>
      <c r="AG1202" s="80"/>
      <c r="AH1202" s="80"/>
      <c r="AI1202" s="81" t="s">
        <v>202</v>
      </c>
      <c r="AJ1202" s="81" t="s">
        <v>83</v>
      </c>
      <c r="AK1202" s="81">
        <v>1997</v>
      </c>
      <c r="AL1202" s="81" t="s">
        <v>119</v>
      </c>
      <c r="AM1202" s="81"/>
    </row>
    <row r="1203" spans="1:39" s="82" customFormat="1" x14ac:dyDescent="0.3">
      <c r="A1203" s="67">
        <v>141</v>
      </c>
      <c r="B1203" s="68"/>
      <c r="C1203" s="68"/>
      <c r="D1203" s="68">
        <v>1</v>
      </c>
      <c r="E1203" s="68">
        <v>8</v>
      </c>
      <c r="F1203" s="68">
        <v>0</v>
      </c>
      <c r="G1203" s="69"/>
      <c r="H1203" s="68"/>
      <c r="I1203" s="69"/>
      <c r="J1203" s="69"/>
      <c r="K1203" s="70">
        <v>2</v>
      </c>
      <c r="L1203" s="68">
        <v>70</v>
      </c>
      <c r="M1203" s="71">
        <v>8</v>
      </c>
      <c r="N1203" s="72"/>
      <c r="O1203" s="84"/>
      <c r="P1203" s="73"/>
      <c r="Q1203" s="84">
        <v>1</v>
      </c>
      <c r="R1203" s="74"/>
      <c r="S1203" s="74"/>
      <c r="T1203" s="75"/>
      <c r="U1203" s="75"/>
      <c r="V1203" s="76"/>
      <c r="W1203" s="76">
        <f>67/141</f>
        <v>0.47517730496453903</v>
      </c>
      <c r="X1203" s="77">
        <v>98</v>
      </c>
      <c r="Y1203" s="78"/>
      <c r="Z1203" s="79"/>
      <c r="AA1203" s="69"/>
      <c r="AB1203" s="68"/>
      <c r="AC1203" s="68"/>
      <c r="AD1203" s="68"/>
      <c r="AE1203" s="80"/>
      <c r="AF1203" s="80"/>
      <c r="AG1203" s="80"/>
      <c r="AH1203" s="80"/>
      <c r="AI1203" s="81" t="s">
        <v>87</v>
      </c>
      <c r="AJ1203" s="81" t="s">
        <v>83</v>
      </c>
      <c r="AK1203" s="81">
        <v>1997</v>
      </c>
      <c r="AL1203" s="81" t="s">
        <v>85</v>
      </c>
      <c r="AM1203" s="81"/>
    </row>
    <row r="1204" spans="1:39" s="82" customFormat="1" x14ac:dyDescent="0.3">
      <c r="A1204" s="67">
        <v>141</v>
      </c>
      <c r="B1204" s="68"/>
      <c r="C1204" s="68"/>
      <c r="D1204" s="68">
        <v>2</v>
      </c>
      <c r="E1204" s="68">
        <v>8</v>
      </c>
      <c r="F1204" s="68">
        <v>0</v>
      </c>
      <c r="G1204" s="69"/>
      <c r="H1204" s="68"/>
      <c r="I1204" s="69"/>
      <c r="J1204" s="69"/>
      <c r="K1204" s="70">
        <v>2</v>
      </c>
      <c r="L1204" s="68">
        <v>98</v>
      </c>
      <c r="M1204" s="71">
        <v>8</v>
      </c>
      <c r="N1204" s="72"/>
      <c r="O1204" s="84">
        <v>98</v>
      </c>
      <c r="P1204" s="73">
        <f>67/141</f>
        <v>0.47517730496453903</v>
      </c>
      <c r="Q1204" s="84">
        <v>1</v>
      </c>
      <c r="R1204" s="74"/>
      <c r="S1204" s="74"/>
      <c r="T1204" s="75">
        <v>6.1</v>
      </c>
      <c r="U1204" s="75">
        <v>6.2</v>
      </c>
      <c r="V1204" s="76"/>
      <c r="W1204" s="76">
        <f>92/141</f>
        <v>0.65248226950354615</v>
      </c>
      <c r="X1204" s="77">
        <v>168</v>
      </c>
      <c r="Y1204" s="78"/>
      <c r="Z1204" s="79"/>
      <c r="AA1204" s="69"/>
      <c r="AB1204" s="68"/>
      <c r="AC1204" s="68"/>
      <c r="AD1204" s="68"/>
      <c r="AE1204" s="80"/>
      <c r="AF1204" s="80"/>
      <c r="AG1204" s="80"/>
      <c r="AH1204" s="80"/>
      <c r="AI1204" s="81" t="s">
        <v>87</v>
      </c>
      <c r="AJ1204" s="81" t="s">
        <v>83</v>
      </c>
      <c r="AK1204" s="81">
        <v>1997</v>
      </c>
      <c r="AL1204" s="81" t="s">
        <v>85</v>
      </c>
      <c r="AM1204" s="81"/>
    </row>
    <row r="1205" spans="1:39" s="82" customFormat="1" x14ac:dyDescent="0.3">
      <c r="A1205" s="67">
        <v>128</v>
      </c>
      <c r="B1205" s="68"/>
      <c r="C1205" s="68">
        <v>1</v>
      </c>
      <c r="D1205" s="68">
        <v>0</v>
      </c>
      <c r="E1205" s="68">
        <v>8</v>
      </c>
      <c r="F1205" s="68">
        <v>1</v>
      </c>
      <c r="G1205" s="69">
        <v>5</v>
      </c>
      <c r="H1205" s="68"/>
      <c r="I1205" s="69"/>
      <c r="J1205" s="69"/>
      <c r="K1205" s="70">
        <v>2</v>
      </c>
      <c r="L1205" s="68">
        <v>70</v>
      </c>
      <c r="M1205" s="71">
        <v>8</v>
      </c>
      <c r="N1205" s="72">
        <v>5</v>
      </c>
      <c r="O1205" s="84"/>
      <c r="P1205" s="73"/>
      <c r="Q1205" s="84">
        <v>1</v>
      </c>
      <c r="R1205" s="74"/>
      <c r="S1205" s="74"/>
      <c r="T1205" s="75"/>
      <c r="U1205" s="75"/>
      <c r="V1205" s="76"/>
      <c r="W1205" s="76">
        <f>127/128</f>
        <v>0.9921875</v>
      </c>
      <c r="X1205" s="77">
        <v>98</v>
      </c>
      <c r="Y1205" s="78"/>
      <c r="Z1205" s="79"/>
      <c r="AA1205" s="69"/>
      <c r="AB1205" s="68"/>
      <c r="AC1205" s="68"/>
      <c r="AD1205" s="68"/>
      <c r="AE1205" s="80"/>
      <c r="AF1205" s="80"/>
      <c r="AG1205" s="80"/>
      <c r="AH1205" s="80"/>
      <c r="AI1205" s="81" t="s">
        <v>122</v>
      </c>
      <c r="AJ1205" s="81" t="s">
        <v>83</v>
      </c>
      <c r="AK1205" s="81">
        <v>1997</v>
      </c>
      <c r="AL1205" s="81" t="s">
        <v>85</v>
      </c>
      <c r="AM1205" s="81"/>
    </row>
    <row r="1206" spans="1:39" s="82" customFormat="1" x14ac:dyDescent="0.3">
      <c r="A1206" s="67">
        <v>128</v>
      </c>
      <c r="B1206" s="68"/>
      <c r="C1206" s="68">
        <v>2</v>
      </c>
      <c r="D1206" s="68">
        <v>0</v>
      </c>
      <c r="E1206" s="68">
        <v>8</v>
      </c>
      <c r="F1206" s="68">
        <v>1</v>
      </c>
      <c r="G1206" s="69">
        <v>5</v>
      </c>
      <c r="H1206" s="68"/>
      <c r="I1206" s="69"/>
      <c r="J1206" s="69"/>
      <c r="K1206" s="70">
        <v>2</v>
      </c>
      <c r="L1206" s="68">
        <v>98</v>
      </c>
      <c r="M1206" s="71">
        <v>8</v>
      </c>
      <c r="N1206" s="72">
        <v>5</v>
      </c>
      <c r="O1206" s="84">
        <v>98</v>
      </c>
      <c r="P1206" s="73">
        <f>127/128</f>
        <v>0.9921875</v>
      </c>
      <c r="Q1206" s="84">
        <v>1</v>
      </c>
      <c r="R1206" s="74"/>
      <c r="S1206" s="74"/>
      <c r="T1206" s="75">
        <v>9.8281364841941077</v>
      </c>
      <c r="U1206" s="75">
        <v>1.2273137735300557</v>
      </c>
      <c r="V1206" s="76"/>
      <c r="W1206" s="76">
        <v>1</v>
      </c>
      <c r="X1206" s="77">
        <v>168</v>
      </c>
      <c r="Y1206" s="78"/>
      <c r="Z1206" s="79"/>
      <c r="AA1206" s="69"/>
      <c r="AB1206" s="68"/>
      <c r="AC1206" s="68"/>
      <c r="AD1206" s="68"/>
      <c r="AE1206" s="80"/>
      <c r="AF1206" s="80"/>
      <c r="AG1206" s="80"/>
      <c r="AH1206" s="80"/>
      <c r="AI1206" s="81" t="s">
        <v>122</v>
      </c>
      <c r="AJ1206" s="81" t="s">
        <v>83</v>
      </c>
      <c r="AK1206" s="81">
        <v>1997</v>
      </c>
      <c r="AL1206" s="81" t="s">
        <v>85</v>
      </c>
      <c r="AM1206" s="81"/>
    </row>
    <row r="1207" spans="1:39" s="82" customFormat="1" x14ac:dyDescent="0.3">
      <c r="A1207" s="67">
        <v>128</v>
      </c>
      <c r="B1207" s="68"/>
      <c r="C1207" s="68"/>
      <c r="D1207" s="68">
        <v>0</v>
      </c>
      <c r="E1207" s="68"/>
      <c r="F1207" s="68">
        <v>2</v>
      </c>
      <c r="G1207" s="69">
        <v>5</v>
      </c>
      <c r="H1207" s="68"/>
      <c r="I1207" s="69"/>
      <c r="J1207" s="69"/>
      <c r="K1207" s="70">
        <v>2</v>
      </c>
      <c r="L1207" s="68">
        <v>70</v>
      </c>
      <c r="M1207" s="71"/>
      <c r="N1207" s="72">
        <v>5</v>
      </c>
      <c r="O1207" s="84"/>
      <c r="P1207" s="73"/>
      <c r="Q1207" s="84">
        <v>1</v>
      </c>
      <c r="R1207" s="74"/>
      <c r="S1207" s="74"/>
      <c r="T1207" s="75"/>
      <c r="U1207" s="75"/>
      <c r="V1207" s="76"/>
      <c r="W1207" s="76">
        <v>0.99</v>
      </c>
      <c r="X1207" s="77">
        <v>98</v>
      </c>
      <c r="Y1207" s="78"/>
      <c r="Z1207" s="79"/>
      <c r="AA1207" s="69"/>
      <c r="AB1207" s="68"/>
      <c r="AC1207" s="68"/>
      <c r="AD1207" s="68"/>
      <c r="AE1207" s="80"/>
      <c r="AF1207" s="80"/>
      <c r="AG1207" s="80"/>
      <c r="AH1207" s="80"/>
      <c r="AI1207" s="81" t="s">
        <v>203</v>
      </c>
      <c r="AJ1207" s="81" t="s">
        <v>83</v>
      </c>
      <c r="AK1207" s="81">
        <v>1997</v>
      </c>
      <c r="AL1207" s="81" t="s">
        <v>85</v>
      </c>
      <c r="AM1207" s="81"/>
    </row>
    <row r="1208" spans="1:39" x14ac:dyDescent="0.3">
      <c r="A1208" s="1">
        <v>128</v>
      </c>
      <c r="D1208" s="2">
        <v>0</v>
      </c>
      <c r="F1208" s="2">
        <v>3</v>
      </c>
      <c r="G1208" s="3">
        <v>5</v>
      </c>
      <c r="K1208" s="4">
        <v>2</v>
      </c>
      <c r="L1208" s="2">
        <v>98</v>
      </c>
      <c r="N1208" s="6">
        <v>5</v>
      </c>
      <c r="O1208" s="17">
        <v>98</v>
      </c>
      <c r="P1208" s="73">
        <v>0.99</v>
      </c>
      <c r="Q1208" s="84">
        <v>1</v>
      </c>
      <c r="T1208" s="9">
        <v>9.6829945836816833</v>
      </c>
      <c r="U1208" s="9">
        <v>1.2002295150900699</v>
      </c>
      <c r="W1208" s="10">
        <v>1</v>
      </c>
      <c r="X1208" s="11">
        <v>168</v>
      </c>
      <c r="AI1208" s="81" t="s">
        <v>203</v>
      </c>
      <c r="AJ1208" s="81" t="s">
        <v>83</v>
      </c>
      <c r="AK1208" s="15">
        <v>1997</v>
      </c>
      <c r="AL1208" s="81" t="s">
        <v>85</v>
      </c>
    </row>
    <row r="1209" spans="1:39" s="82" customFormat="1" x14ac:dyDescent="0.3">
      <c r="A1209" s="67">
        <v>107</v>
      </c>
      <c r="B1209" s="68"/>
      <c r="C1209" s="68"/>
      <c r="D1209" s="68">
        <v>2</v>
      </c>
      <c r="E1209" s="68">
        <v>32</v>
      </c>
      <c r="F1209" s="68">
        <v>0</v>
      </c>
      <c r="G1209" s="69"/>
      <c r="H1209" s="68"/>
      <c r="I1209" s="69"/>
      <c r="J1209" s="69"/>
      <c r="K1209" s="20">
        <v>3</v>
      </c>
      <c r="L1209" s="68">
        <v>98</v>
      </c>
      <c r="M1209" s="71">
        <v>32</v>
      </c>
      <c r="N1209" s="72"/>
      <c r="O1209" s="84"/>
      <c r="P1209" s="73"/>
      <c r="Q1209" s="84">
        <v>1</v>
      </c>
      <c r="R1209" s="74"/>
      <c r="S1209" s="74"/>
      <c r="T1209" s="75">
        <v>7.9</v>
      </c>
      <c r="U1209" s="75">
        <v>4.8</v>
      </c>
      <c r="V1209" s="76"/>
      <c r="W1209" s="76">
        <f>105/107</f>
        <v>0.98130841121495327</v>
      </c>
      <c r="X1209" s="77">
        <v>168</v>
      </c>
      <c r="Y1209" s="78"/>
      <c r="Z1209" s="79"/>
      <c r="AA1209" s="69"/>
      <c r="AB1209" s="68"/>
      <c r="AC1209" s="68"/>
      <c r="AD1209" s="68"/>
      <c r="AE1209" s="80"/>
      <c r="AF1209" s="80"/>
      <c r="AG1209" s="80"/>
      <c r="AH1209" s="80"/>
      <c r="AI1209" s="81" t="s">
        <v>86</v>
      </c>
      <c r="AJ1209" s="81" t="s">
        <v>83</v>
      </c>
      <c r="AK1209" s="81">
        <v>1997</v>
      </c>
      <c r="AL1209" s="81" t="s">
        <v>84</v>
      </c>
      <c r="AM1209" s="81"/>
    </row>
    <row r="1210" spans="1:39" s="82" customFormat="1" x14ac:dyDescent="0.3">
      <c r="A1210" s="67">
        <v>118</v>
      </c>
      <c r="B1210" s="68"/>
      <c r="C1210" s="68">
        <v>2</v>
      </c>
      <c r="D1210" s="68">
        <v>0</v>
      </c>
      <c r="E1210" s="68">
        <v>32</v>
      </c>
      <c r="F1210" s="68">
        <v>1</v>
      </c>
      <c r="G1210" s="69">
        <v>5.5</v>
      </c>
      <c r="H1210" s="68"/>
      <c r="I1210" s="69"/>
      <c r="J1210" s="69"/>
      <c r="K1210" s="20">
        <v>3</v>
      </c>
      <c r="L1210" s="68">
        <v>98</v>
      </c>
      <c r="M1210" s="71">
        <v>32</v>
      </c>
      <c r="N1210" s="72">
        <v>5.5</v>
      </c>
      <c r="O1210" s="84"/>
      <c r="P1210" s="73"/>
      <c r="Q1210" s="84">
        <v>1</v>
      </c>
      <c r="R1210" s="74"/>
      <c r="S1210" s="74"/>
      <c r="T1210" s="75">
        <v>8.4136279290241713</v>
      </c>
      <c r="U1210" s="75">
        <v>3.6826512303327683</v>
      </c>
      <c r="V1210" s="76"/>
      <c r="W1210" s="76">
        <v>0.99</v>
      </c>
      <c r="X1210" s="77">
        <v>168</v>
      </c>
      <c r="Y1210" s="78"/>
      <c r="Z1210" s="79"/>
      <c r="AA1210" s="69"/>
      <c r="AB1210" s="68"/>
      <c r="AC1210" s="68"/>
      <c r="AD1210" s="68"/>
      <c r="AE1210" s="80"/>
      <c r="AF1210" s="80"/>
      <c r="AG1210" s="80"/>
      <c r="AH1210" s="80"/>
      <c r="AI1210" s="81" t="s">
        <v>123</v>
      </c>
      <c r="AJ1210" s="81" t="s">
        <v>83</v>
      </c>
      <c r="AK1210" s="81">
        <v>1997</v>
      </c>
      <c r="AL1210" s="81" t="s">
        <v>84</v>
      </c>
      <c r="AM1210" s="81"/>
    </row>
    <row r="1211" spans="1:39" s="82" customFormat="1" x14ac:dyDescent="0.3">
      <c r="A1211" s="67">
        <v>114</v>
      </c>
      <c r="B1211" s="68"/>
      <c r="C1211" s="68"/>
      <c r="D1211" s="68">
        <v>0</v>
      </c>
      <c r="E1211" s="68"/>
      <c r="F1211" s="68">
        <v>3</v>
      </c>
      <c r="G1211" s="69">
        <v>5.5</v>
      </c>
      <c r="H1211" s="68"/>
      <c r="I1211" s="69"/>
      <c r="J1211" s="69"/>
      <c r="K1211" s="20">
        <v>3</v>
      </c>
      <c r="L1211" s="68">
        <v>98</v>
      </c>
      <c r="M1211" s="71"/>
      <c r="N1211" s="72">
        <v>5.5</v>
      </c>
      <c r="O1211" s="84"/>
      <c r="P1211" s="73"/>
      <c r="Q1211" s="84">
        <v>1</v>
      </c>
      <c r="R1211" s="74"/>
      <c r="S1211" s="74"/>
      <c r="T1211" s="75">
        <v>7.0552824355011898</v>
      </c>
      <c r="U1211" s="75">
        <v>3.6928375573874734</v>
      </c>
      <c r="V1211" s="76"/>
      <c r="W1211" s="76">
        <v>0.72</v>
      </c>
      <c r="X1211" s="77">
        <v>168</v>
      </c>
      <c r="Y1211" s="78"/>
      <c r="Z1211" s="79"/>
      <c r="AA1211" s="69"/>
      <c r="AB1211" s="68"/>
      <c r="AC1211" s="68"/>
      <c r="AD1211" s="68"/>
      <c r="AE1211" s="80"/>
      <c r="AF1211" s="80"/>
      <c r="AG1211" s="80"/>
      <c r="AH1211" s="80"/>
      <c r="AI1211" s="81" t="s">
        <v>204</v>
      </c>
      <c r="AJ1211" s="81" t="s">
        <v>83</v>
      </c>
      <c r="AK1211" s="81">
        <v>1997</v>
      </c>
      <c r="AL1211" s="81" t="s">
        <v>84</v>
      </c>
      <c r="AM1211" s="81" t="s">
        <v>174</v>
      </c>
    </row>
    <row r="1212" spans="1:39" s="82" customFormat="1" x14ac:dyDescent="0.3">
      <c r="A1212" s="67">
        <v>86</v>
      </c>
      <c r="B1212" s="68"/>
      <c r="C1212" s="68"/>
      <c r="D1212" s="68">
        <v>0</v>
      </c>
      <c r="E1212" s="68"/>
      <c r="F1212" s="68">
        <v>0</v>
      </c>
      <c r="G1212" s="69">
        <v>5.5</v>
      </c>
      <c r="H1212" s="68"/>
      <c r="I1212" s="69"/>
      <c r="J1212" s="69"/>
      <c r="K1212" s="70">
        <v>3</v>
      </c>
      <c r="L1212" s="68">
        <v>0</v>
      </c>
      <c r="M1212" s="71"/>
      <c r="N1212" s="72">
        <v>5.5</v>
      </c>
      <c r="O1212" s="84"/>
      <c r="P1212" s="73"/>
      <c r="Q1212" s="84">
        <v>1</v>
      </c>
      <c r="R1212" s="74"/>
      <c r="S1212" s="74"/>
      <c r="T1212" s="75"/>
      <c r="U1212" s="75"/>
      <c r="V1212" s="76">
        <v>0.16</v>
      </c>
      <c r="W1212" s="76"/>
      <c r="X1212" s="77">
        <v>42</v>
      </c>
      <c r="Y1212" s="78"/>
      <c r="Z1212" s="79"/>
      <c r="AA1212" s="69"/>
      <c r="AB1212" s="68"/>
      <c r="AC1212" s="68"/>
      <c r="AD1212" s="68"/>
      <c r="AE1212" s="80"/>
      <c r="AF1212" s="80"/>
      <c r="AG1212" s="80"/>
      <c r="AH1212" s="80"/>
      <c r="AI1212" s="81" t="s">
        <v>124</v>
      </c>
      <c r="AJ1212" s="81" t="s">
        <v>83</v>
      </c>
      <c r="AK1212" s="81">
        <v>1997</v>
      </c>
      <c r="AL1212" s="81" t="s">
        <v>119</v>
      </c>
      <c r="AM1212" s="81"/>
    </row>
    <row r="1213" spans="1:39" s="82" customFormat="1" x14ac:dyDescent="0.3">
      <c r="A1213" s="67">
        <v>86</v>
      </c>
      <c r="B1213" s="68"/>
      <c r="C1213" s="68"/>
      <c r="D1213" s="68">
        <v>0</v>
      </c>
      <c r="E1213" s="68"/>
      <c r="F1213" s="68">
        <v>1</v>
      </c>
      <c r="G1213" s="69">
        <v>5.5</v>
      </c>
      <c r="H1213" s="68"/>
      <c r="I1213" s="69"/>
      <c r="J1213" s="69"/>
      <c r="K1213" s="70">
        <v>3</v>
      </c>
      <c r="L1213" s="68">
        <v>42</v>
      </c>
      <c r="M1213" s="71"/>
      <c r="N1213" s="72">
        <v>5.5</v>
      </c>
      <c r="O1213" s="84"/>
      <c r="P1213" s="73"/>
      <c r="Q1213" s="84">
        <v>1</v>
      </c>
      <c r="R1213" s="74"/>
      <c r="S1213" s="74"/>
      <c r="T1213" s="75"/>
      <c r="U1213" s="75"/>
      <c r="V1213" s="76"/>
      <c r="W1213" s="76">
        <v>0.57999999999999996</v>
      </c>
      <c r="X1213" s="77">
        <v>70</v>
      </c>
      <c r="Y1213" s="78"/>
      <c r="Z1213" s="79"/>
      <c r="AA1213" s="69"/>
      <c r="AB1213" s="68"/>
      <c r="AC1213" s="68"/>
      <c r="AD1213" s="68"/>
      <c r="AE1213" s="80"/>
      <c r="AF1213" s="80"/>
      <c r="AG1213" s="80"/>
      <c r="AH1213" s="80"/>
      <c r="AI1213" s="81" t="s">
        <v>124</v>
      </c>
      <c r="AJ1213" s="81" t="s">
        <v>83</v>
      </c>
      <c r="AK1213" s="81">
        <v>1997</v>
      </c>
      <c r="AL1213" s="81" t="s">
        <v>119</v>
      </c>
      <c r="AM1213" s="81"/>
    </row>
    <row r="1214" spans="1:39" s="82" customFormat="1" x14ac:dyDescent="0.3">
      <c r="A1214" s="67">
        <v>172</v>
      </c>
      <c r="B1214" s="68"/>
      <c r="C1214" s="68">
        <v>1</v>
      </c>
      <c r="D1214" s="68">
        <v>0</v>
      </c>
      <c r="E1214" s="68">
        <v>32</v>
      </c>
      <c r="F1214" s="68">
        <v>1</v>
      </c>
      <c r="G1214" s="69">
        <v>5.5</v>
      </c>
      <c r="H1214" s="68"/>
      <c r="I1214" s="69"/>
      <c r="J1214" s="69"/>
      <c r="K1214" s="70">
        <v>3</v>
      </c>
      <c r="L1214" s="68">
        <v>70</v>
      </c>
      <c r="M1214" s="71">
        <v>32</v>
      </c>
      <c r="N1214" s="72">
        <v>5.5</v>
      </c>
      <c r="O1214" s="84"/>
      <c r="P1214" s="73">
        <v>0.57999999999999996</v>
      </c>
      <c r="Q1214" s="84">
        <v>1</v>
      </c>
      <c r="R1214" s="74"/>
      <c r="S1214" s="74"/>
      <c r="T1214" s="75"/>
      <c r="U1214" s="75"/>
      <c r="V1214" s="76"/>
      <c r="W1214" s="76">
        <f>126/138</f>
        <v>0.91304347826086951</v>
      </c>
      <c r="X1214" s="77">
        <v>98</v>
      </c>
      <c r="Y1214" s="78"/>
      <c r="Z1214" s="79"/>
      <c r="AA1214" s="69"/>
      <c r="AB1214" s="68"/>
      <c r="AC1214" s="68"/>
      <c r="AD1214" s="68"/>
      <c r="AE1214" s="80"/>
      <c r="AF1214" s="80"/>
      <c r="AG1214" s="80"/>
      <c r="AH1214" s="80"/>
      <c r="AI1214" s="81" t="s">
        <v>124</v>
      </c>
      <c r="AJ1214" s="81" t="s">
        <v>83</v>
      </c>
      <c r="AK1214" s="81">
        <v>1997</v>
      </c>
      <c r="AL1214" s="81" t="s">
        <v>119</v>
      </c>
      <c r="AM1214" s="81"/>
    </row>
    <row r="1215" spans="1:39" s="82" customFormat="1" x14ac:dyDescent="0.3">
      <c r="A1215" s="67">
        <v>172</v>
      </c>
      <c r="B1215" s="68"/>
      <c r="C1215" s="68">
        <v>2</v>
      </c>
      <c r="D1215" s="68">
        <v>0</v>
      </c>
      <c r="E1215" s="68">
        <v>32</v>
      </c>
      <c r="F1215" s="68">
        <v>1</v>
      </c>
      <c r="G1215" s="69">
        <v>5.5</v>
      </c>
      <c r="H1215" s="68"/>
      <c r="I1215" s="69"/>
      <c r="J1215" s="69"/>
      <c r="K1215" s="70">
        <v>3</v>
      </c>
      <c r="L1215" s="68">
        <v>98</v>
      </c>
      <c r="M1215" s="71">
        <v>32</v>
      </c>
      <c r="N1215" s="72">
        <v>5.5</v>
      </c>
      <c r="O1215" s="84">
        <v>98</v>
      </c>
      <c r="P1215" s="73">
        <f>126/138</f>
        <v>0.91304347826086951</v>
      </c>
      <c r="Q1215" s="84">
        <v>1</v>
      </c>
      <c r="R1215" s="74"/>
      <c r="S1215" s="74"/>
      <c r="T1215" s="75">
        <v>8.6110247973073513</v>
      </c>
      <c r="U1215" s="75">
        <v>3.0953509825363663</v>
      </c>
      <c r="V1215" s="76"/>
      <c r="W1215" s="76">
        <v>0.97</v>
      </c>
      <c r="X1215" s="77">
        <v>168</v>
      </c>
      <c r="Y1215" s="78"/>
      <c r="Z1215" s="79"/>
      <c r="AA1215" s="69"/>
      <c r="AB1215" s="68"/>
      <c r="AC1215" s="68"/>
      <c r="AD1215" s="68"/>
      <c r="AE1215" s="80"/>
      <c r="AF1215" s="80"/>
      <c r="AG1215" s="80"/>
      <c r="AH1215" s="80"/>
      <c r="AI1215" s="81" t="s">
        <v>124</v>
      </c>
      <c r="AJ1215" s="81" t="s">
        <v>83</v>
      </c>
      <c r="AK1215" s="81">
        <v>1997</v>
      </c>
      <c r="AL1215" s="81" t="s">
        <v>119</v>
      </c>
      <c r="AM1215" s="81"/>
    </row>
    <row r="1216" spans="1:39" s="82" customFormat="1" x14ac:dyDescent="0.3">
      <c r="A1216" s="67">
        <v>75</v>
      </c>
      <c r="B1216" s="68"/>
      <c r="C1216" s="68"/>
      <c r="D1216" s="68">
        <v>0</v>
      </c>
      <c r="E1216" s="68"/>
      <c r="F1216" s="68">
        <v>0</v>
      </c>
      <c r="G1216" s="69"/>
      <c r="H1216" s="68"/>
      <c r="I1216" s="69"/>
      <c r="J1216" s="69"/>
      <c r="K1216" s="70">
        <v>3</v>
      </c>
      <c r="L1216" s="68">
        <v>0</v>
      </c>
      <c r="M1216" s="71"/>
      <c r="N1216" s="72">
        <v>5.5</v>
      </c>
      <c r="O1216" s="84"/>
      <c r="P1216" s="73"/>
      <c r="Q1216" s="84">
        <v>1</v>
      </c>
      <c r="R1216" s="74"/>
      <c r="S1216" s="74"/>
      <c r="T1216" s="75"/>
      <c r="U1216" s="75"/>
      <c r="V1216" s="76">
        <v>0.06</v>
      </c>
      <c r="W1216" s="76"/>
      <c r="X1216" s="77">
        <v>42</v>
      </c>
      <c r="Y1216" s="78"/>
      <c r="Z1216" s="79"/>
      <c r="AA1216" s="69"/>
      <c r="AB1216" s="68"/>
      <c r="AC1216" s="68"/>
      <c r="AD1216" s="68"/>
      <c r="AE1216" s="80"/>
      <c r="AF1216" s="80"/>
      <c r="AG1216" s="80"/>
      <c r="AH1216" s="80"/>
      <c r="AI1216" s="81" t="s">
        <v>202</v>
      </c>
      <c r="AJ1216" s="81" t="s">
        <v>83</v>
      </c>
      <c r="AK1216" s="81">
        <v>1997</v>
      </c>
      <c r="AL1216" s="81" t="s">
        <v>119</v>
      </c>
      <c r="AM1216" s="81" t="s">
        <v>174</v>
      </c>
    </row>
    <row r="1217" spans="1:39" s="82" customFormat="1" x14ac:dyDescent="0.3">
      <c r="A1217" s="67">
        <v>75</v>
      </c>
      <c r="B1217" s="68"/>
      <c r="C1217" s="68"/>
      <c r="D1217" s="68">
        <v>0</v>
      </c>
      <c r="E1217" s="68"/>
      <c r="F1217" s="68">
        <v>1</v>
      </c>
      <c r="G1217" s="69">
        <v>5.5</v>
      </c>
      <c r="H1217" s="68"/>
      <c r="I1217" s="69"/>
      <c r="J1217" s="69"/>
      <c r="K1217" s="70">
        <v>3</v>
      </c>
      <c r="L1217" s="68">
        <v>42</v>
      </c>
      <c r="M1217" s="71"/>
      <c r="N1217" s="72">
        <v>5.5</v>
      </c>
      <c r="O1217" s="84"/>
      <c r="P1217" s="73"/>
      <c r="Q1217" s="84">
        <v>1</v>
      </c>
      <c r="R1217" s="74"/>
      <c r="S1217" s="74"/>
      <c r="T1217" s="75"/>
      <c r="U1217" s="75"/>
      <c r="V1217" s="76"/>
      <c r="W1217" s="76">
        <v>0.53</v>
      </c>
      <c r="X1217" s="77">
        <v>70</v>
      </c>
      <c r="Y1217" s="78"/>
      <c r="Z1217" s="79"/>
      <c r="AA1217" s="69"/>
      <c r="AB1217" s="68"/>
      <c r="AC1217" s="68"/>
      <c r="AD1217" s="68"/>
      <c r="AE1217" s="80"/>
      <c r="AF1217" s="80"/>
      <c r="AG1217" s="80"/>
      <c r="AH1217" s="80"/>
      <c r="AI1217" s="81" t="s">
        <v>202</v>
      </c>
      <c r="AJ1217" s="81" t="s">
        <v>83</v>
      </c>
      <c r="AK1217" s="81">
        <v>1997</v>
      </c>
      <c r="AL1217" s="81" t="s">
        <v>119</v>
      </c>
      <c r="AM1217" s="81"/>
    </row>
    <row r="1218" spans="1:39" s="82" customFormat="1" x14ac:dyDescent="0.3">
      <c r="A1218" s="67">
        <v>150</v>
      </c>
      <c r="B1218" s="68"/>
      <c r="C1218" s="68"/>
      <c r="D1218" s="68">
        <v>0</v>
      </c>
      <c r="E1218" s="68"/>
      <c r="F1218" s="68">
        <v>2</v>
      </c>
      <c r="G1218" s="69">
        <v>5.5</v>
      </c>
      <c r="H1218" s="68"/>
      <c r="I1218" s="69"/>
      <c r="J1218" s="69"/>
      <c r="K1218" s="70">
        <v>3</v>
      </c>
      <c r="L1218" s="68">
        <v>70</v>
      </c>
      <c r="M1218" s="71"/>
      <c r="N1218" s="72">
        <v>5.5</v>
      </c>
      <c r="O1218" s="84"/>
      <c r="P1218" s="73">
        <v>0.53</v>
      </c>
      <c r="Q1218" s="84">
        <v>1</v>
      </c>
      <c r="R1218" s="74"/>
      <c r="S1218" s="74"/>
      <c r="T1218" s="75"/>
      <c r="U1218" s="75"/>
      <c r="V1218" s="76"/>
      <c r="W1218" s="76">
        <v>0.73</v>
      </c>
      <c r="X1218" s="77">
        <v>98</v>
      </c>
      <c r="Y1218" s="78"/>
      <c r="Z1218" s="79"/>
      <c r="AA1218" s="69"/>
      <c r="AB1218" s="68"/>
      <c r="AC1218" s="68"/>
      <c r="AD1218" s="68"/>
      <c r="AE1218" s="80"/>
      <c r="AF1218" s="80"/>
      <c r="AG1218" s="80"/>
      <c r="AH1218" s="80"/>
      <c r="AI1218" s="81" t="s">
        <v>202</v>
      </c>
      <c r="AJ1218" s="81" t="s">
        <v>83</v>
      </c>
      <c r="AK1218" s="81">
        <v>1997</v>
      </c>
      <c r="AL1218" s="81" t="s">
        <v>119</v>
      </c>
      <c r="AM1218" s="81"/>
    </row>
    <row r="1219" spans="1:39" s="82" customFormat="1" x14ac:dyDescent="0.3">
      <c r="A1219" s="67">
        <v>150</v>
      </c>
      <c r="B1219" s="68"/>
      <c r="C1219" s="68"/>
      <c r="D1219" s="68">
        <v>0</v>
      </c>
      <c r="E1219" s="68"/>
      <c r="F1219" s="68">
        <v>3</v>
      </c>
      <c r="G1219" s="69">
        <v>5.5</v>
      </c>
      <c r="H1219" s="68"/>
      <c r="I1219" s="69"/>
      <c r="J1219" s="69"/>
      <c r="K1219" s="70">
        <v>3</v>
      </c>
      <c r="L1219" s="68">
        <v>98</v>
      </c>
      <c r="M1219" s="71"/>
      <c r="N1219" s="72">
        <v>5.5</v>
      </c>
      <c r="O1219" s="84">
        <v>98</v>
      </c>
      <c r="P1219" s="73">
        <v>0.73</v>
      </c>
      <c r="Q1219" s="84">
        <v>1</v>
      </c>
      <c r="R1219" s="74"/>
      <c r="S1219" s="74"/>
      <c r="T1219" s="75">
        <v>7.366322214245816</v>
      </c>
      <c r="U1219" s="75">
        <v>3.7563833725366553</v>
      </c>
      <c r="V1219" s="76"/>
      <c r="W1219" s="76">
        <v>0.81</v>
      </c>
      <c r="X1219" s="77">
        <v>168</v>
      </c>
      <c r="Y1219" s="78"/>
      <c r="Z1219" s="79"/>
      <c r="AA1219" s="69"/>
      <c r="AB1219" s="68"/>
      <c r="AC1219" s="68"/>
      <c r="AD1219" s="68"/>
      <c r="AE1219" s="80"/>
      <c r="AF1219" s="80"/>
      <c r="AG1219" s="80"/>
      <c r="AH1219" s="80"/>
      <c r="AI1219" s="81" t="s">
        <v>202</v>
      </c>
      <c r="AJ1219" s="81" t="s">
        <v>83</v>
      </c>
      <c r="AK1219" s="81">
        <v>1997</v>
      </c>
      <c r="AL1219" s="81" t="s">
        <v>119</v>
      </c>
      <c r="AM1219" s="81"/>
    </row>
    <row r="1220" spans="1:39" s="82" customFormat="1" x14ac:dyDescent="0.3">
      <c r="A1220" s="67">
        <v>141</v>
      </c>
      <c r="B1220" s="68"/>
      <c r="C1220" s="68"/>
      <c r="D1220" s="68">
        <v>1</v>
      </c>
      <c r="E1220" s="68">
        <v>32</v>
      </c>
      <c r="F1220" s="68">
        <v>0</v>
      </c>
      <c r="G1220" s="69"/>
      <c r="H1220" s="68"/>
      <c r="I1220" s="69"/>
      <c r="J1220" s="69"/>
      <c r="K1220" s="70">
        <v>3</v>
      </c>
      <c r="L1220" s="68">
        <v>70</v>
      </c>
      <c r="M1220" s="71">
        <v>32</v>
      </c>
      <c r="N1220" s="72"/>
      <c r="O1220" s="84"/>
      <c r="P1220" s="73"/>
      <c r="Q1220" s="84">
        <v>1</v>
      </c>
      <c r="R1220" s="74"/>
      <c r="S1220" s="74"/>
      <c r="T1220" s="75"/>
      <c r="U1220" s="75"/>
      <c r="V1220" s="76"/>
      <c r="W1220" s="76">
        <f>111/141</f>
        <v>0.78723404255319152</v>
      </c>
      <c r="X1220" s="77">
        <v>98</v>
      </c>
      <c r="Y1220" s="78"/>
      <c r="Z1220" s="79"/>
      <c r="AA1220" s="69"/>
      <c r="AB1220" s="68"/>
      <c r="AC1220" s="68"/>
      <c r="AD1220" s="68"/>
      <c r="AE1220" s="80"/>
      <c r="AF1220" s="80"/>
      <c r="AG1220" s="80"/>
      <c r="AH1220" s="80"/>
      <c r="AI1220" s="81" t="s">
        <v>87</v>
      </c>
      <c r="AJ1220" s="81" t="s">
        <v>83</v>
      </c>
      <c r="AK1220" s="81">
        <v>1997</v>
      </c>
      <c r="AL1220" s="81" t="s">
        <v>85</v>
      </c>
      <c r="AM1220" s="81"/>
    </row>
    <row r="1221" spans="1:39" x14ac:dyDescent="0.3">
      <c r="A1221" s="1">
        <v>141</v>
      </c>
      <c r="D1221" s="68">
        <v>2</v>
      </c>
      <c r="E1221" s="68">
        <v>32</v>
      </c>
      <c r="F1221" s="68">
        <v>0</v>
      </c>
      <c r="H1221" s="68"/>
      <c r="I1221" s="69"/>
      <c r="J1221" s="69"/>
      <c r="K1221" s="4">
        <v>3</v>
      </c>
      <c r="L1221" s="68">
        <v>98</v>
      </c>
      <c r="M1221" s="5">
        <v>32</v>
      </c>
      <c r="O1221" s="17">
        <v>98</v>
      </c>
      <c r="P1221" s="7">
        <f>111/141</f>
        <v>0.78723404255319152</v>
      </c>
      <c r="Q1221" s="84">
        <v>1</v>
      </c>
      <c r="R1221" s="74"/>
      <c r="S1221" s="74"/>
      <c r="T1221" s="75">
        <v>7.1</v>
      </c>
      <c r="U1221" s="75">
        <v>5.5</v>
      </c>
      <c r="W1221" s="10">
        <f>132/141</f>
        <v>0.93617021276595747</v>
      </c>
      <c r="X1221" s="11">
        <v>168</v>
      </c>
      <c r="AI1221" s="81" t="s">
        <v>87</v>
      </c>
      <c r="AJ1221" s="81" t="s">
        <v>83</v>
      </c>
      <c r="AK1221" s="81">
        <v>1997</v>
      </c>
      <c r="AL1221" s="81" t="s">
        <v>85</v>
      </c>
    </row>
    <row r="1222" spans="1:39" s="82" customFormat="1" x14ac:dyDescent="0.3">
      <c r="A1222" s="67">
        <v>128</v>
      </c>
      <c r="B1222" s="68"/>
      <c r="C1222" s="68">
        <v>1</v>
      </c>
      <c r="D1222" s="68">
        <v>0</v>
      </c>
      <c r="E1222" s="68">
        <v>32</v>
      </c>
      <c r="F1222" s="68">
        <v>1</v>
      </c>
      <c r="G1222" s="69">
        <v>5.5</v>
      </c>
      <c r="H1222" s="68"/>
      <c r="I1222" s="69"/>
      <c r="J1222" s="69"/>
      <c r="K1222" s="70">
        <v>3</v>
      </c>
      <c r="L1222" s="68">
        <v>70</v>
      </c>
      <c r="M1222" s="71">
        <v>32</v>
      </c>
      <c r="N1222" s="72">
        <v>5.5</v>
      </c>
      <c r="O1222" s="84"/>
      <c r="P1222" s="73"/>
      <c r="Q1222" s="84">
        <v>1</v>
      </c>
      <c r="R1222" s="74"/>
      <c r="S1222" s="74"/>
      <c r="T1222" s="75"/>
      <c r="U1222" s="75"/>
      <c r="V1222" s="76"/>
      <c r="W1222" s="76">
        <f>121/128</f>
        <v>0.9453125</v>
      </c>
      <c r="X1222" s="77">
        <v>98</v>
      </c>
      <c r="Y1222" s="78"/>
      <c r="Z1222" s="79"/>
      <c r="AA1222" s="69"/>
      <c r="AB1222" s="68"/>
      <c r="AC1222" s="68"/>
      <c r="AD1222" s="68"/>
      <c r="AE1222" s="80"/>
      <c r="AF1222" s="80"/>
      <c r="AG1222" s="80"/>
      <c r="AH1222" s="80"/>
      <c r="AI1222" s="81" t="s">
        <v>122</v>
      </c>
      <c r="AJ1222" s="81" t="s">
        <v>83</v>
      </c>
      <c r="AK1222" s="81">
        <v>1997</v>
      </c>
      <c r="AL1222" s="81" t="s">
        <v>85</v>
      </c>
      <c r="AM1222" s="81"/>
    </row>
    <row r="1223" spans="1:39" s="82" customFormat="1" x14ac:dyDescent="0.3">
      <c r="A1223" s="67">
        <v>128</v>
      </c>
      <c r="B1223" s="68"/>
      <c r="C1223" s="68">
        <v>2</v>
      </c>
      <c r="D1223" s="68">
        <v>0</v>
      </c>
      <c r="E1223" s="68">
        <v>32</v>
      </c>
      <c r="F1223" s="68">
        <v>1</v>
      </c>
      <c r="G1223" s="69">
        <v>5.5</v>
      </c>
      <c r="H1223" s="68"/>
      <c r="I1223" s="69"/>
      <c r="J1223" s="69"/>
      <c r="K1223" s="70">
        <v>3</v>
      </c>
      <c r="L1223" s="68">
        <v>98</v>
      </c>
      <c r="M1223" s="71">
        <v>32</v>
      </c>
      <c r="N1223" s="72">
        <v>5.5</v>
      </c>
      <c r="O1223" s="84">
        <v>98</v>
      </c>
      <c r="P1223" s="73">
        <f>121/128</f>
        <v>0.9453125</v>
      </c>
      <c r="Q1223" s="84">
        <v>1</v>
      </c>
      <c r="R1223" s="74"/>
      <c r="S1223" s="74"/>
      <c r="T1223" s="75">
        <v>9.5117526537673793</v>
      </c>
      <c r="U1223" s="75">
        <v>1.3981257953251292</v>
      </c>
      <c r="V1223" s="76"/>
      <c r="W1223" s="76">
        <v>1</v>
      </c>
      <c r="X1223" s="77">
        <v>168</v>
      </c>
      <c r="Y1223" s="78"/>
      <c r="Z1223" s="79"/>
      <c r="AA1223" s="69"/>
      <c r="AB1223" s="68"/>
      <c r="AC1223" s="68"/>
      <c r="AD1223" s="68"/>
      <c r="AE1223" s="80"/>
      <c r="AF1223" s="80"/>
      <c r="AG1223" s="80"/>
      <c r="AH1223" s="80"/>
      <c r="AI1223" s="81" t="s">
        <v>122</v>
      </c>
      <c r="AJ1223" s="81" t="s">
        <v>83</v>
      </c>
      <c r="AK1223" s="81">
        <v>1997</v>
      </c>
      <c r="AL1223" s="81" t="s">
        <v>85</v>
      </c>
      <c r="AM1223" s="81"/>
    </row>
    <row r="1224" spans="1:39" s="82" customFormat="1" x14ac:dyDescent="0.3">
      <c r="A1224" s="67">
        <v>128</v>
      </c>
      <c r="B1224" s="68"/>
      <c r="C1224" s="68"/>
      <c r="D1224" s="68">
        <v>0</v>
      </c>
      <c r="E1224" s="68"/>
      <c r="F1224" s="68">
        <v>2</v>
      </c>
      <c r="G1224" s="69">
        <v>5.5</v>
      </c>
      <c r="H1224" s="68"/>
      <c r="I1224" s="69"/>
      <c r="J1224" s="69"/>
      <c r="K1224" s="70">
        <v>3</v>
      </c>
      <c r="L1224" s="68">
        <v>70</v>
      </c>
      <c r="M1224" s="71"/>
      <c r="N1224" s="72">
        <v>5.5</v>
      </c>
      <c r="O1224" s="84"/>
      <c r="P1224" s="73"/>
      <c r="Q1224" s="84">
        <v>1</v>
      </c>
      <c r="R1224" s="74"/>
      <c r="S1224" s="74"/>
      <c r="T1224" s="75"/>
      <c r="U1224" s="75"/>
      <c r="V1224" s="76"/>
      <c r="W1224" s="76">
        <v>0.93</v>
      </c>
      <c r="X1224" s="77">
        <v>98</v>
      </c>
      <c r="Y1224" s="78"/>
      <c r="Z1224" s="79"/>
      <c r="AA1224" s="69"/>
      <c r="AB1224" s="68"/>
      <c r="AC1224" s="68"/>
      <c r="AD1224" s="68"/>
      <c r="AE1224" s="80"/>
      <c r="AF1224" s="80"/>
      <c r="AG1224" s="80"/>
      <c r="AH1224" s="80"/>
      <c r="AI1224" s="81" t="s">
        <v>203</v>
      </c>
      <c r="AJ1224" s="81" t="s">
        <v>83</v>
      </c>
      <c r="AK1224" s="81">
        <v>1997</v>
      </c>
      <c r="AL1224" s="81" t="s">
        <v>85</v>
      </c>
      <c r="AM1224" s="81"/>
    </row>
    <row r="1225" spans="1:39" s="82" customFormat="1" x14ac:dyDescent="0.3">
      <c r="A1225" s="67">
        <v>128</v>
      </c>
      <c r="B1225" s="68"/>
      <c r="C1225" s="68"/>
      <c r="D1225" s="68">
        <v>0</v>
      </c>
      <c r="E1225" s="68"/>
      <c r="F1225" s="68">
        <v>3</v>
      </c>
      <c r="G1225" s="69">
        <v>5.5</v>
      </c>
      <c r="H1225" s="68"/>
      <c r="I1225" s="69"/>
      <c r="J1225" s="69"/>
      <c r="K1225" s="70">
        <v>3</v>
      </c>
      <c r="L1225" s="68">
        <v>98</v>
      </c>
      <c r="M1225" s="71"/>
      <c r="N1225" s="72">
        <v>5.5</v>
      </c>
      <c r="O1225" s="84">
        <v>98</v>
      </c>
      <c r="P1225" s="73">
        <v>0.93</v>
      </c>
      <c r="Q1225" s="84">
        <v>1</v>
      </c>
      <c r="R1225" s="74"/>
      <c r="S1225" s="74"/>
      <c r="T1225" s="75">
        <v>8.4429434958487271</v>
      </c>
      <c r="U1225" s="75">
        <v>3.0517858123260488</v>
      </c>
      <c r="V1225" s="76"/>
      <c r="W1225" s="76">
        <v>1</v>
      </c>
      <c r="X1225" s="77">
        <v>168</v>
      </c>
      <c r="Y1225" s="78"/>
      <c r="Z1225" s="79"/>
      <c r="AA1225" s="69"/>
      <c r="AB1225" s="68"/>
      <c r="AC1225" s="68"/>
      <c r="AD1225" s="68"/>
      <c r="AE1225" s="80"/>
      <c r="AF1225" s="80"/>
      <c r="AG1225" s="80"/>
      <c r="AH1225" s="80"/>
      <c r="AI1225" s="81" t="s">
        <v>203</v>
      </c>
      <c r="AJ1225" s="81" t="s">
        <v>83</v>
      </c>
      <c r="AK1225" s="81">
        <v>1997</v>
      </c>
      <c r="AL1225" s="81" t="s">
        <v>85</v>
      </c>
      <c r="AM1225" s="81"/>
    </row>
    <row r="1226" spans="1:39" s="82" customFormat="1" x14ac:dyDescent="0.3">
      <c r="A1226" s="67">
        <v>27</v>
      </c>
      <c r="B1226" s="68"/>
      <c r="C1226" s="68"/>
      <c r="D1226" s="68">
        <v>0</v>
      </c>
      <c r="E1226" s="68"/>
      <c r="F1226" s="68">
        <v>0</v>
      </c>
      <c r="G1226" s="69"/>
      <c r="H1226" s="68">
        <v>0</v>
      </c>
      <c r="I1226" s="69">
        <v>6.4262647547020979</v>
      </c>
      <c r="J1226" s="69"/>
      <c r="K1226" s="70">
        <v>1</v>
      </c>
      <c r="L1226" s="68">
        <v>0</v>
      </c>
      <c r="M1226" s="71"/>
      <c r="N1226" s="72">
        <v>6</v>
      </c>
      <c r="O1226" s="84">
        <v>0</v>
      </c>
      <c r="P1226" s="73">
        <v>1</v>
      </c>
      <c r="Q1226" s="84">
        <v>0</v>
      </c>
      <c r="R1226" s="74">
        <v>6.4262647547020979</v>
      </c>
      <c r="S1226" s="74"/>
      <c r="T1226" s="75">
        <v>5.9772799234999168</v>
      </c>
      <c r="U1226" s="75"/>
      <c r="V1226" s="76">
        <v>0.21940605535300001</v>
      </c>
      <c r="W1226" s="76">
        <f>P1227</f>
        <v>1</v>
      </c>
      <c r="X1226" s="77">
        <v>60</v>
      </c>
      <c r="Y1226" s="78"/>
      <c r="Z1226" s="79"/>
      <c r="AA1226" s="69"/>
      <c r="AB1226" s="68"/>
      <c r="AC1226" s="68"/>
      <c r="AD1226" s="68"/>
      <c r="AE1226" s="80"/>
      <c r="AF1226" s="80"/>
      <c r="AG1226" s="80"/>
      <c r="AH1226" s="80"/>
      <c r="AI1226" s="81" t="s">
        <v>562</v>
      </c>
      <c r="AJ1226" s="81" t="s">
        <v>561</v>
      </c>
      <c r="AK1226" s="81">
        <v>1992</v>
      </c>
      <c r="AL1226" s="81" t="s">
        <v>362</v>
      </c>
      <c r="AM1226" s="81"/>
    </row>
    <row r="1227" spans="1:39" s="82" customFormat="1" x14ac:dyDescent="0.3">
      <c r="A1227" s="67">
        <v>27</v>
      </c>
      <c r="B1227" s="68"/>
      <c r="C1227" s="68"/>
      <c r="D1227" s="68">
        <v>0</v>
      </c>
      <c r="E1227" s="68"/>
      <c r="F1227" s="68">
        <v>1</v>
      </c>
      <c r="G1227" s="69">
        <v>6</v>
      </c>
      <c r="H1227" s="68">
        <v>0</v>
      </c>
      <c r="I1227" s="69">
        <v>6.4262647547020979</v>
      </c>
      <c r="J1227" s="69"/>
      <c r="K1227" s="70">
        <v>1</v>
      </c>
      <c r="L1227" s="68">
        <v>60</v>
      </c>
      <c r="M1227" s="71"/>
      <c r="N1227" s="72">
        <v>6</v>
      </c>
      <c r="O1227" s="84">
        <v>60</v>
      </c>
      <c r="P1227" s="73">
        <v>1</v>
      </c>
      <c r="Q1227" s="84">
        <v>0</v>
      </c>
      <c r="R1227" s="74">
        <v>5.9772799234999168</v>
      </c>
      <c r="S1227" s="74"/>
      <c r="T1227" s="75">
        <v>7.1799090900149345</v>
      </c>
      <c r="U1227" s="75"/>
      <c r="V1227" s="76"/>
      <c r="W1227" s="76">
        <f>P1228</f>
        <v>0.97</v>
      </c>
      <c r="X1227" s="77">
        <v>120</v>
      </c>
      <c r="Y1227" s="78"/>
      <c r="Z1227" s="79"/>
      <c r="AA1227" s="69"/>
      <c r="AB1227" s="68"/>
      <c r="AC1227" s="68"/>
      <c r="AD1227" s="68"/>
      <c r="AE1227" s="80"/>
      <c r="AF1227" s="80"/>
      <c r="AG1227" s="80"/>
      <c r="AH1227" s="80"/>
      <c r="AI1227" s="81" t="s">
        <v>562</v>
      </c>
      <c r="AJ1227" s="81" t="s">
        <v>561</v>
      </c>
      <c r="AK1227" s="81">
        <v>1992</v>
      </c>
      <c r="AL1227" s="81" t="s">
        <v>362</v>
      </c>
      <c r="AM1227" s="81"/>
    </row>
    <row r="1228" spans="1:39" x14ac:dyDescent="0.3">
      <c r="A1228" s="67">
        <v>27</v>
      </c>
      <c r="D1228" s="2">
        <v>0</v>
      </c>
      <c r="F1228" s="2">
        <v>2</v>
      </c>
      <c r="G1228" s="3">
        <v>6</v>
      </c>
      <c r="H1228" s="68">
        <v>0</v>
      </c>
      <c r="I1228" s="69">
        <v>6.4262647547020979</v>
      </c>
      <c r="K1228" s="4">
        <v>1</v>
      </c>
      <c r="L1228" s="2">
        <v>120</v>
      </c>
      <c r="N1228" s="6">
        <v>6</v>
      </c>
      <c r="O1228" s="17">
        <v>120</v>
      </c>
      <c r="P1228" s="7">
        <v>0.97</v>
      </c>
      <c r="Q1228" s="84">
        <v>0</v>
      </c>
      <c r="R1228" s="74">
        <v>7.1799090900149345</v>
      </c>
      <c r="T1228" s="9">
        <v>7.4918530963296748</v>
      </c>
      <c r="W1228" s="10">
        <v>1</v>
      </c>
      <c r="X1228" s="11">
        <v>180</v>
      </c>
      <c r="AB1228" s="68"/>
      <c r="AI1228" s="81" t="s">
        <v>562</v>
      </c>
      <c r="AJ1228" s="81" t="s">
        <v>561</v>
      </c>
      <c r="AK1228" s="81">
        <v>1992</v>
      </c>
      <c r="AL1228" s="81" t="s">
        <v>362</v>
      </c>
    </row>
    <row r="1229" spans="1:39" x14ac:dyDescent="0.3">
      <c r="A1229" s="67">
        <v>27</v>
      </c>
      <c r="D1229" s="2">
        <v>0</v>
      </c>
      <c r="F1229" s="2">
        <v>3</v>
      </c>
      <c r="G1229" s="3">
        <v>6</v>
      </c>
      <c r="H1229" s="68">
        <v>0</v>
      </c>
      <c r="I1229" s="69">
        <v>6.4262647547020979</v>
      </c>
      <c r="K1229" s="4">
        <v>1</v>
      </c>
      <c r="L1229" s="2">
        <v>270</v>
      </c>
      <c r="N1229" s="6">
        <v>6</v>
      </c>
      <c r="O1229" s="17">
        <v>270</v>
      </c>
      <c r="P1229" s="7">
        <v>0.97</v>
      </c>
      <c r="Q1229" s="84">
        <v>0</v>
      </c>
      <c r="R1229" s="74">
        <v>6.9425145053392399</v>
      </c>
      <c r="T1229" s="9">
        <v>7.6794800995054455</v>
      </c>
      <c r="W1229" s="10">
        <v>1</v>
      </c>
      <c r="X1229" s="11">
        <v>365</v>
      </c>
      <c r="AB1229" s="68"/>
      <c r="AI1229" s="81" t="s">
        <v>562</v>
      </c>
      <c r="AJ1229" s="81" t="s">
        <v>561</v>
      </c>
      <c r="AK1229" s="81">
        <v>1992</v>
      </c>
      <c r="AL1229" s="81" t="s">
        <v>362</v>
      </c>
    </row>
    <row r="1230" spans="1:39" x14ac:dyDescent="0.3">
      <c r="A1230" s="67">
        <v>27</v>
      </c>
      <c r="D1230" s="2">
        <v>0</v>
      </c>
      <c r="F1230" s="2">
        <v>0</v>
      </c>
      <c r="H1230" s="2">
        <v>0</v>
      </c>
      <c r="I1230" s="3">
        <v>7.1085244567781691</v>
      </c>
      <c r="K1230" s="4">
        <v>1</v>
      </c>
      <c r="L1230" s="2">
        <v>60</v>
      </c>
      <c r="N1230" s="6">
        <v>6</v>
      </c>
      <c r="O1230" s="17">
        <v>60</v>
      </c>
      <c r="P1230" s="7">
        <v>0.96</v>
      </c>
      <c r="Q1230" s="84">
        <v>0</v>
      </c>
      <c r="R1230" s="74">
        <v>5.0443941193584534</v>
      </c>
      <c r="T1230" s="9">
        <v>6.6724253419714952</v>
      </c>
      <c r="V1230" s="10">
        <v>0.64258117400100001</v>
      </c>
      <c r="W1230" s="10">
        <f>P1231</f>
        <v>0.96</v>
      </c>
      <c r="X1230" s="11">
        <v>120</v>
      </c>
      <c r="AB1230" s="68"/>
      <c r="AI1230" s="81" t="s">
        <v>563</v>
      </c>
      <c r="AJ1230" s="81" t="s">
        <v>561</v>
      </c>
      <c r="AK1230" s="81">
        <v>1992</v>
      </c>
      <c r="AL1230" s="81" t="s">
        <v>362</v>
      </c>
    </row>
    <row r="1231" spans="1:39" x14ac:dyDescent="0.3">
      <c r="A1231" s="67">
        <v>27</v>
      </c>
      <c r="D1231" s="2">
        <v>0</v>
      </c>
      <c r="F1231" s="2">
        <v>1</v>
      </c>
      <c r="G1231" s="3">
        <v>6</v>
      </c>
      <c r="H1231" s="68">
        <v>0</v>
      </c>
      <c r="I1231" s="69">
        <v>7.1085244567781691</v>
      </c>
      <c r="K1231" s="4">
        <v>1</v>
      </c>
      <c r="L1231" s="2">
        <v>120</v>
      </c>
      <c r="N1231" s="6">
        <v>6</v>
      </c>
      <c r="O1231" s="17">
        <v>120</v>
      </c>
      <c r="P1231" s="7">
        <v>0.96</v>
      </c>
      <c r="Q1231" s="84">
        <v>0</v>
      </c>
      <c r="R1231" s="74">
        <v>6.6724253419714952</v>
      </c>
      <c r="T1231" s="9">
        <v>7.2479275134435861</v>
      </c>
      <c r="W1231" s="76">
        <f>P1232</f>
        <v>0.96</v>
      </c>
      <c r="X1231" s="11">
        <v>180</v>
      </c>
      <c r="AB1231" s="68"/>
      <c r="AI1231" s="81" t="s">
        <v>563</v>
      </c>
      <c r="AJ1231" s="81" t="s">
        <v>561</v>
      </c>
      <c r="AK1231" s="81">
        <v>1992</v>
      </c>
      <c r="AL1231" s="81" t="s">
        <v>362</v>
      </c>
    </row>
    <row r="1232" spans="1:39" x14ac:dyDescent="0.3">
      <c r="A1232" s="67">
        <v>27</v>
      </c>
      <c r="D1232" s="2">
        <v>0</v>
      </c>
      <c r="F1232" s="2">
        <v>2</v>
      </c>
      <c r="G1232" s="3">
        <v>6</v>
      </c>
      <c r="H1232" s="68">
        <v>0</v>
      </c>
      <c r="I1232" s="69">
        <v>7.1085244567781691</v>
      </c>
      <c r="K1232" s="4">
        <v>1</v>
      </c>
      <c r="L1232" s="2">
        <v>180</v>
      </c>
      <c r="N1232" s="6">
        <v>6</v>
      </c>
      <c r="O1232" s="17">
        <v>180</v>
      </c>
      <c r="P1232" s="7">
        <v>0.96</v>
      </c>
      <c r="Q1232" s="84">
        <v>0</v>
      </c>
      <c r="R1232" s="74">
        <v>7.2479275134435861</v>
      </c>
      <c r="T1232" s="9">
        <v>7.2479275134435861</v>
      </c>
      <c r="W1232" s="76">
        <f>P1233</f>
        <v>0.96</v>
      </c>
      <c r="X1232" s="11">
        <v>270</v>
      </c>
      <c r="AB1232" s="68"/>
      <c r="AI1232" s="81" t="s">
        <v>563</v>
      </c>
      <c r="AJ1232" s="81" t="s">
        <v>561</v>
      </c>
      <c r="AK1232" s="81">
        <v>1992</v>
      </c>
      <c r="AL1232" s="81" t="s">
        <v>362</v>
      </c>
    </row>
    <row r="1233" spans="1:39" x14ac:dyDescent="0.3">
      <c r="A1233" s="67">
        <v>27</v>
      </c>
      <c r="D1233" s="2">
        <v>0</v>
      </c>
      <c r="F1233" s="2">
        <v>3</v>
      </c>
      <c r="G1233" s="3">
        <v>6</v>
      </c>
      <c r="H1233" s="68">
        <v>0</v>
      </c>
      <c r="I1233" s="69">
        <v>7.1085244567781691</v>
      </c>
      <c r="K1233" s="4">
        <v>1</v>
      </c>
      <c r="L1233" s="2">
        <v>270</v>
      </c>
      <c r="O1233" s="17">
        <v>270</v>
      </c>
      <c r="P1233" s="7">
        <v>0.96</v>
      </c>
      <c r="Q1233" s="84">
        <v>0</v>
      </c>
      <c r="R1233" s="74">
        <v>7.2479275134435861</v>
      </c>
      <c r="T1233" s="9">
        <v>7.2573878426926521</v>
      </c>
      <c r="W1233" s="10">
        <v>0.96</v>
      </c>
      <c r="X1233" s="11">
        <v>365</v>
      </c>
      <c r="AB1233" s="68"/>
      <c r="AI1233" s="81" t="s">
        <v>563</v>
      </c>
      <c r="AJ1233" s="81" t="s">
        <v>561</v>
      </c>
      <c r="AK1233" s="81">
        <v>1992</v>
      </c>
      <c r="AL1233" s="81" t="s">
        <v>362</v>
      </c>
    </row>
    <row r="1234" spans="1:39" s="82" customFormat="1" x14ac:dyDescent="0.3">
      <c r="A1234" s="67">
        <v>27</v>
      </c>
      <c r="B1234" s="68"/>
      <c r="C1234" s="68"/>
      <c r="D1234" s="68">
        <v>0</v>
      </c>
      <c r="E1234" s="68"/>
      <c r="F1234" s="68">
        <v>0</v>
      </c>
      <c r="G1234" s="69"/>
      <c r="H1234" s="68">
        <v>0</v>
      </c>
      <c r="I1234" s="69">
        <v>6.0223678130284544</v>
      </c>
      <c r="J1234" s="69"/>
      <c r="K1234" s="70">
        <v>2</v>
      </c>
      <c r="L1234" s="68">
        <v>0</v>
      </c>
      <c r="M1234" s="71"/>
      <c r="N1234" s="72">
        <v>5</v>
      </c>
      <c r="O1234" s="84">
        <v>0</v>
      </c>
      <c r="P1234" s="73">
        <v>0.89</v>
      </c>
      <c r="Q1234" s="84">
        <v>0</v>
      </c>
      <c r="R1234" s="74">
        <v>6.0223678130284544</v>
      </c>
      <c r="S1234" s="74"/>
      <c r="T1234" s="75">
        <v>7.5924570372680806</v>
      </c>
      <c r="U1234" s="75"/>
      <c r="V1234" s="76">
        <v>0.59338599614700005</v>
      </c>
      <c r="W1234" s="76">
        <f>P1235</f>
        <v>0.97</v>
      </c>
      <c r="X1234" s="77">
        <v>60</v>
      </c>
      <c r="Y1234" s="78"/>
      <c r="Z1234" s="79"/>
      <c r="AA1234" s="69"/>
      <c r="AB1234" s="68"/>
      <c r="AC1234" s="68"/>
      <c r="AD1234" s="68"/>
      <c r="AE1234" s="80"/>
      <c r="AF1234" s="80"/>
      <c r="AG1234" s="80"/>
      <c r="AH1234" s="80"/>
      <c r="AI1234" s="81" t="s">
        <v>562</v>
      </c>
      <c r="AJ1234" s="81" t="s">
        <v>561</v>
      </c>
      <c r="AK1234" s="81">
        <v>1992</v>
      </c>
      <c r="AL1234" s="81" t="s">
        <v>362</v>
      </c>
      <c r="AM1234" s="81"/>
    </row>
    <row r="1235" spans="1:39" s="82" customFormat="1" x14ac:dyDescent="0.3">
      <c r="A1235" s="67">
        <v>27</v>
      </c>
      <c r="B1235" s="68"/>
      <c r="C1235" s="68"/>
      <c r="D1235" s="68">
        <v>0</v>
      </c>
      <c r="E1235" s="68"/>
      <c r="F1235" s="68">
        <v>1</v>
      </c>
      <c r="G1235" s="69">
        <v>5</v>
      </c>
      <c r="H1235" s="68">
        <v>0</v>
      </c>
      <c r="I1235" s="69">
        <v>6.0223678130284544</v>
      </c>
      <c r="J1235" s="69"/>
      <c r="K1235" s="70">
        <v>2</v>
      </c>
      <c r="L1235" s="68">
        <v>60</v>
      </c>
      <c r="M1235" s="71"/>
      <c r="N1235" s="72">
        <v>5</v>
      </c>
      <c r="O1235" s="84">
        <v>60</v>
      </c>
      <c r="P1235" s="73">
        <v>0.97</v>
      </c>
      <c r="Q1235" s="84">
        <v>0</v>
      </c>
      <c r="R1235" s="74">
        <v>7.5924570372680806</v>
      </c>
      <c r="S1235" s="74"/>
      <c r="T1235" s="75">
        <v>9.7142455176661215</v>
      </c>
      <c r="U1235" s="75"/>
      <c r="V1235" s="76"/>
      <c r="W1235" s="76">
        <f>P1236</f>
        <v>0.97</v>
      </c>
      <c r="X1235" s="77">
        <v>120</v>
      </c>
      <c r="Y1235" s="78"/>
      <c r="Z1235" s="79"/>
      <c r="AA1235" s="69"/>
      <c r="AB1235" s="68"/>
      <c r="AC1235" s="68"/>
      <c r="AD1235" s="68"/>
      <c r="AE1235" s="80"/>
      <c r="AF1235" s="80"/>
      <c r="AG1235" s="80"/>
      <c r="AH1235" s="80"/>
      <c r="AI1235" s="81" t="s">
        <v>562</v>
      </c>
      <c r="AJ1235" s="81" t="s">
        <v>561</v>
      </c>
      <c r="AK1235" s="81">
        <v>1992</v>
      </c>
      <c r="AL1235" s="81" t="s">
        <v>362</v>
      </c>
      <c r="AM1235" s="81"/>
    </row>
    <row r="1236" spans="1:39" s="82" customFormat="1" x14ac:dyDescent="0.3">
      <c r="A1236" s="67">
        <v>27</v>
      </c>
      <c r="B1236" s="68"/>
      <c r="C1236" s="68"/>
      <c r="D1236" s="68">
        <v>0</v>
      </c>
      <c r="E1236" s="68"/>
      <c r="F1236" s="68">
        <v>2</v>
      </c>
      <c r="G1236" s="69">
        <v>5</v>
      </c>
      <c r="H1236" s="68">
        <v>0</v>
      </c>
      <c r="I1236" s="69">
        <v>6.0223678130284544</v>
      </c>
      <c r="J1236" s="69"/>
      <c r="K1236" s="70">
        <v>2</v>
      </c>
      <c r="L1236" s="68">
        <v>120</v>
      </c>
      <c r="M1236" s="71"/>
      <c r="N1236" s="72">
        <v>5</v>
      </c>
      <c r="O1236" s="84">
        <v>120</v>
      </c>
      <c r="P1236" s="73">
        <v>0.97</v>
      </c>
      <c r="Q1236" s="84">
        <v>0</v>
      </c>
      <c r="R1236" s="74">
        <v>9.7142455176661215</v>
      </c>
      <c r="S1236" s="74"/>
      <c r="T1236" s="75">
        <v>9.6528449730019794</v>
      </c>
      <c r="U1236" s="75"/>
      <c r="V1236" s="76"/>
      <c r="W1236" s="76">
        <v>0.97</v>
      </c>
      <c r="X1236" s="77">
        <v>180</v>
      </c>
      <c r="Y1236" s="78"/>
      <c r="Z1236" s="79"/>
      <c r="AA1236" s="69"/>
      <c r="AB1236" s="68"/>
      <c r="AC1236" s="68"/>
      <c r="AD1236" s="68"/>
      <c r="AE1236" s="80"/>
      <c r="AF1236" s="80"/>
      <c r="AG1236" s="80"/>
      <c r="AH1236" s="80"/>
      <c r="AI1236" s="81" t="s">
        <v>562</v>
      </c>
      <c r="AJ1236" s="81" t="s">
        <v>561</v>
      </c>
      <c r="AK1236" s="81">
        <v>1992</v>
      </c>
      <c r="AL1236" s="81" t="s">
        <v>362</v>
      </c>
      <c r="AM1236" s="81"/>
    </row>
    <row r="1237" spans="1:39" s="82" customFormat="1" x14ac:dyDescent="0.3">
      <c r="A1237" s="67">
        <v>27</v>
      </c>
      <c r="B1237" s="68"/>
      <c r="C1237" s="68"/>
      <c r="D1237" s="68">
        <v>0</v>
      </c>
      <c r="E1237" s="68"/>
      <c r="F1237" s="68">
        <v>3</v>
      </c>
      <c r="G1237" s="69">
        <v>5</v>
      </c>
      <c r="H1237" s="68">
        <v>0</v>
      </c>
      <c r="I1237" s="69">
        <v>6.0223678130284544</v>
      </c>
      <c r="J1237" s="69"/>
      <c r="K1237" s="70">
        <v>2</v>
      </c>
      <c r="L1237" s="68">
        <v>270</v>
      </c>
      <c r="M1237" s="71"/>
      <c r="N1237" s="72">
        <v>5</v>
      </c>
      <c r="O1237" s="84">
        <v>270</v>
      </c>
      <c r="P1237" s="73">
        <v>1</v>
      </c>
      <c r="Q1237" s="84">
        <v>0</v>
      </c>
      <c r="R1237" s="74">
        <v>8.8360503550580702</v>
      </c>
      <c r="S1237" s="74"/>
      <c r="T1237" s="75">
        <v>9.0552824355011907</v>
      </c>
      <c r="U1237" s="75"/>
      <c r="V1237" s="76"/>
      <c r="W1237" s="76">
        <v>1</v>
      </c>
      <c r="X1237" s="77">
        <v>365</v>
      </c>
      <c r="Y1237" s="78"/>
      <c r="Z1237" s="79"/>
      <c r="AA1237" s="69"/>
      <c r="AB1237" s="68"/>
      <c r="AC1237" s="68"/>
      <c r="AD1237" s="68"/>
      <c r="AE1237" s="80"/>
      <c r="AF1237" s="80"/>
      <c r="AG1237" s="80"/>
      <c r="AH1237" s="80"/>
      <c r="AI1237" s="81" t="s">
        <v>562</v>
      </c>
      <c r="AJ1237" s="81" t="s">
        <v>561</v>
      </c>
      <c r="AK1237" s="81">
        <v>1992</v>
      </c>
      <c r="AL1237" s="81" t="s">
        <v>362</v>
      </c>
      <c r="AM1237" s="81"/>
    </row>
    <row r="1238" spans="1:39" s="82" customFormat="1" x14ac:dyDescent="0.3">
      <c r="A1238" s="67">
        <v>27</v>
      </c>
      <c r="B1238" s="68"/>
      <c r="C1238" s="68"/>
      <c r="D1238" s="68">
        <v>0</v>
      </c>
      <c r="E1238" s="68"/>
      <c r="F1238" s="68">
        <v>0</v>
      </c>
      <c r="G1238" s="69"/>
      <c r="H1238" s="68">
        <v>0</v>
      </c>
      <c r="I1238" s="69">
        <v>6.2854022188622478</v>
      </c>
      <c r="J1238" s="69"/>
      <c r="K1238" s="70">
        <v>2</v>
      </c>
      <c r="L1238" s="68">
        <v>60</v>
      </c>
      <c r="M1238" s="71"/>
      <c r="N1238" s="72">
        <v>5</v>
      </c>
      <c r="O1238" s="84">
        <v>60</v>
      </c>
      <c r="P1238" s="73">
        <v>0.96</v>
      </c>
      <c r="Q1238" s="84">
        <v>0</v>
      </c>
      <c r="R1238" s="74">
        <v>4.8073549220576037</v>
      </c>
      <c r="S1238" s="74"/>
      <c r="T1238" s="75">
        <v>8.9512847149669721</v>
      </c>
      <c r="U1238" s="75"/>
      <c r="V1238" s="76">
        <v>0.971480110477</v>
      </c>
      <c r="W1238" s="76">
        <f>P1239</f>
        <v>1</v>
      </c>
      <c r="X1238" s="77">
        <v>120</v>
      </c>
      <c r="Y1238" s="78"/>
      <c r="Z1238" s="79"/>
      <c r="AA1238" s="69"/>
      <c r="AB1238" s="68"/>
      <c r="AC1238" s="68"/>
      <c r="AD1238" s="68"/>
      <c r="AE1238" s="80"/>
      <c r="AF1238" s="80"/>
      <c r="AG1238" s="80"/>
      <c r="AH1238" s="80"/>
      <c r="AI1238" s="81" t="s">
        <v>563</v>
      </c>
      <c r="AJ1238" s="81" t="s">
        <v>561</v>
      </c>
      <c r="AK1238" s="81">
        <v>1992</v>
      </c>
      <c r="AL1238" s="81" t="s">
        <v>362</v>
      </c>
      <c r="AM1238" s="81"/>
    </row>
    <row r="1239" spans="1:39" s="82" customFormat="1" x14ac:dyDescent="0.3">
      <c r="A1239" s="67">
        <v>27</v>
      </c>
      <c r="B1239" s="68"/>
      <c r="C1239" s="68"/>
      <c r="D1239" s="68">
        <v>0</v>
      </c>
      <c r="E1239" s="68"/>
      <c r="F1239" s="68">
        <v>1</v>
      </c>
      <c r="G1239" s="69">
        <v>5</v>
      </c>
      <c r="H1239" s="68">
        <v>0</v>
      </c>
      <c r="I1239" s="69">
        <v>6.2854022188622478</v>
      </c>
      <c r="J1239" s="69"/>
      <c r="K1239" s="70">
        <v>2</v>
      </c>
      <c r="L1239" s="68">
        <v>120</v>
      </c>
      <c r="M1239" s="71"/>
      <c r="N1239" s="72">
        <v>5</v>
      </c>
      <c r="O1239" s="84">
        <v>120</v>
      </c>
      <c r="P1239" s="73">
        <v>1</v>
      </c>
      <c r="Q1239" s="84">
        <v>0</v>
      </c>
      <c r="R1239" s="74">
        <v>8.9512847149669721</v>
      </c>
      <c r="S1239" s="74"/>
      <c r="T1239" s="75">
        <v>9.6238814900134582</v>
      </c>
      <c r="U1239" s="75"/>
      <c r="V1239" s="76"/>
      <c r="W1239" s="76">
        <f>P1240</f>
        <v>1</v>
      </c>
      <c r="X1239" s="77">
        <v>180</v>
      </c>
      <c r="Y1239" s="78"/>
      <c r="Z1239" s="79"/>
      <c r="AA1239" s="69"/>
      <c r="AB1239" s="68"/>
      <c r="AC1239" s="68"/>
      <c r="AD1239" s="68"/>
      <c r="AE1239" s="80"/>
      <c r="AF1239" s="80"/>
      <c r="AG1239" s="80"/>
      <c r="AH1239" s="80"/>
      <c r="AI1239" s="81" t="s">
        <v>563</v>
      </c>
      <c r="AJ1239" s="81" t="s">
        <v>561</v>
      </c>
      <c r="AK1239" s="81">
        <v>1992</v>
      </c>
      <c r="AL1239" s="81" t="s">
        <v>362</v>
      </c>
      <c r="AM1239" s="81"/>
    </row>
    <row r="1240" spans="1:39" s="82" customFormat="1" x14ac:dyDescent="0.3">
      <c r="A1240" s="67">
        <v>27</v>
      </c>
      <c r="B1240" s="68"/>
      <c r="C1240" s="68"/>
      <c r="D1240" s="68">
        <v>0</v>
      </c>
      <c r="E1240" s="68"/>
      <c r="F1240" s="68">
        <v>2</v>
      </c>
      <c r="G1240" s="69">
        <v>5</v>
      </c>
      <c r="H1240" s="68">
        <v>0</v>
      </c>
      <c r="I1240" s="69">
        <v>6.2854022188622478</v>
      </c>
      <c r="J1240" s="69"/>
      <c r="K1240" s="70">
        <v>2</v>
      </c>
      <c r="L1240" s="68">
        <v>180</v>
      </c>
      <c r="M1240" s="71"/>
      <c r="N1240" s="72">
        <v>5</v>
      </c>
      <c r="O1240" s="84">
        <v>180</v>
      </c>
      <c r="P1240" s="73">
        <v>1</v>
      </c>
      <c r="Q1240" s="84">
        <v>0</v>
      </c>
      <c r="R1240" s="74">
        <v>9.6238814900134582</v>
      </c>
      <c r="S1240" s="74"/>
      <c r="T1240" s="75">
        <v>9.3151495622563001</v>
      </c>
      <c r="U1240" s="75"/>
      <c r="V1240" s="76"/>
      <c r="W1240" s="76">
        <f>P1241</f>
        <v>1</v>
      </c>
      <c r="X1240" s="77">
        <v>270</v>
      </c>
      <c r="Y1240" s="78"/>
      <c r="Z1240" s="79"/>
      <c r="AA1240" s="69"/>
      <c r="AB1240" s="68"/>
      <c r="AC1240" s="68"/>
      <c r="AD1240" s="68"/>
      <c r="AE1240" s="80"/>
      <c r="AF1240" s="80"/>
      <c r="AG1240" s="80"/>
      <c r="AH1240" s="80"/>
      <c r="AI1240" s="81" t="s">
        <v>563</v>
      </c>
      <c r="AJ1240" s="81" t="s">
        <v>561</v>
      </c>
      <c r="AK1240" s="81">
        <v>1992</v>
      </c>
      <c r="AL1240" s="81" t="s">
        <v>362</v>
      </c>
      <c r="AM1240" s="81"/>
    </row>
    <row r="1241" spans="1:39" s="82" customFormat="1" x14ac:dyDescent="0.3">
      <c r="A1241" s="67">
        <v>27</v>
      </c>
      <c r="B1241" s="68"/>
      <c r="C1241" s="68"/>
      <c r="D1241" s="68">
        <v>0</v>
      </c>
      <c r="E1241" s="68"/>
      <c r="F1241" s="68">
        <v>3</v>
      </c>
      <c r="G1241" s="69">
        <v>5</v>
      </c>
      <c r="H1241" s="68">
        <v>0</v>
      </c>
      <c r="I1241" s="69">
        <v>6.2854022188622478</v>
      </c>
      <c r="J1241" s="69"/>
      <c r="K1241" s="70">
        <v>2</v>
      </c>
      <c r="L1241" s="68">
        <v>270</v>
      </c>
      <c r="M1241" s="71"/>
      <c r="N1241" s="72"/>
      <c r="O1241" s="84">
        <v>270</v>
      </c>
      <c r="P1241" s="73">
        <v>1</v>
      </c>
      <c r="Q1241" s="84">
        <v>0</v>
      </c>
      <c r="R1241" s="74">
        <v>9.3151495622563001</v>
      </c>
      <c r="S1241" s="74"/>
      <c r="T1241" s="75">
        <v>9.1215335173400316</v>
      </c>
      <c r="U1241" s="75"/>
      <c r="V1241" s="76"/>
      <c r="W1241" s="76">
        <v>1</v>
      </c>
      <c r="X1241" s="77">
        <v>365</v>
      </c>
      <c r="Y1241" s="78"/>
      <c r="Z1241" s="79"/>
      <c r="AA1241" s="69"/>
      <c r="AB1241" s="68"/>
      <c r="AC1241" s="68"/>
      <c r="AD1241" s="68"/>
      <c r="AE1241" s="80"/>
      <c r="AF1241" s="80"/>
      <c r="AG1241" s="80"/>
      <c r="AH1241" s="80"/>
      <c r="AI1241" s="81" t="s">
        <v>563</v>
      </c>
      <c r="AJ1241" s="81" t="s">
        <v>561</v>
      </c>
      <c r="AK1241" s="81">
        <v>1992</v>
      </c>
      <c r="AL1241" s="81" t="s">
        <v>362</v>
      </c>
      <c r="AM1241" s="81"/>
    </row>
    <row r="1242" spans="1:39" s="82" customFormat="1" x14ac:dyDescent="0.3">
      <c r="A1242" s="67">
        <v>27</v>
      </c>
      <c r="B1242" s="68"/>
      <c r="C1242" s="68"/>
      <c r="D1242" s="68">
        <v>0</v>
      </c>
      <c r="E1242" s="68"/>
      <c r="F1242" s="68">
        <v>0</v>
      </c>
      <c r="G1242" s="69"/>
      <c r="H1242" s="68">
        <v>0</v>
      </c>
      <c r="I1242" s="69">
        <v>5.3575520046180838</v>
      </c>
      <c r="J1242" s="69"/>
      <c r="K1242" s="70">
        <v>3</v>
      </c>
      <c r="L1242" s="68">
        <v>0</v>
      </c>
      <c r="M1242" s="71"/>
      <c r="N1242" s="72">
        <v>5.5</v>
      </c>
      <c r="O1242" s="84">
        <v>0</v>
      </c>
      <c r="P1242" s="73">
        <v>0.96</v>
      </c>
      <c r="Q1242" s="84">
        <v>0</v>
      </c>
      <c r="R1242" s="74">
        <v>5.3575520046180838</v>
      </c>
      <c r="S1242" s="74"/>
      <c r="T1242" s="75">
        <v>4</v>
      </c>
      <c r="U1242" s="75"/>
      <c r="V1242" s="76">
        <v>0.108955114784</v>
      </c>
      <c r="W1242" s="76">
        <f>P1243</f>
        <v>0.78</v>
      </c>
      <c r="X1242" s="77">
        <v>60</v>
      </c>
      <c r="Y1242" s="78"/>
      <c r="Z1242" s="79"/>
      <c r="AA1242" s="69"/>
      <c r="AB1242" s="68"/>
      <c r="AC1242" s="68"/>
      <c r="AD1242" s="68"/>
      <c r="AE1242" s="80"/>
      <c r="AF1242" s="80"/>
      <c r="AG1242" s="80"/>
      <c r="AH1242" s="80"/>
      <c r="AI1242" s="81" t="s">
        <v>562</v>
      </c>
      <c r="AJ1242" s="81" t="s">
        <v>561</v>
      </c>
      <c r="AK1242" s="81">
        <v>1992</v>
      </c>
      <c r="AL1242" s="81" t="s">
        <v>362</v>
      </c>
      <c r="AM1242" s="81"/>
    </row>
    <row r="1243" spans="1:39" s="82" customFormat="1" x14ac:dyDescent="0.3">
      <c r="A1243" s="67">
        <v>27</v>
      </c>
      <c r="B1243" s="68"/>
      <c r="C1243" s="68"/>
      <c r="D1243" s="68">
        <v>0</v>
      </c>
      <c r="E1243" s="68"/>
      <c r="F1243" s="68">
        <v>1</v>
      </c>
      <c r="G1243" s="69">
        <v>5.5</v>
      </c>
      <c r="H1243" s="68">
        <v>0</v>
      </c>
      <c r="I1243" s="69">
        <v>5.3575520046180838</v>
      </c>
      <c r="J1243" s="69"/>
      <c r="K1243" s="70">
        <v>3</v>
      </c>
      <c r="L1243" s="68">
        <v>60</v>
      </c>
      <c r="M1243" s="71"/>
      <c r="N1243" s="72">
        <v>5.5</v>
      </c>
      <c r="O1243" s="84">
        <v>60</v>
      </c>
      <c r="P1243" s="73">
        <v>0.78</v>
      </c>
      <c r="Q1243" s="84">
        <v>0</v>
      </c>
      <c r="R1243" s="74">
        <v>4</v>
      </c>
      <c r="S1243" s="74"/>
      <c r="T1243" s="75">
        <v>6.3923174227787598</v>
      </c>
      <c r="U1243" s="75"/>
      <c r="V1243" s="76"/>
      <c r="W1243" s="76">
        <f>P1244</f>
        <v>0.82</v>
      </c>
      <c r="X1243" s="77">
        <v>120</v>
      </c>
      <c r="Y1243" s="78"/>
      <c r="Z1243" s="79"/>
      <c r="AA1243" s="69"/>
      <c r="AB1243" s="68"/>
      <c r="AC1243" s="68"/>
      <c r="AD1243" s="68"/>
      <c r="AE1243" s="80"/>
      <c r="AF1243" s="80"/>
      <c r="AG1243" s="80"/>
      <c r="AH1243" s="80"/>
      <c r="AI1243" s="81" t="s">
        <v>562</v>
      </c>
      <c r="AJ1243" s="81" t="s">
        <v>561</v>
      </c>
      <c r="AK1243" s="81">
        <v>1992</v>
      </c>
      <c r="AL1243" s="81" t="s">
        <v>362</v>
      </c>
      <c r="AM1243" s="81"/>
    </row>
    <row r="1244" spans="1:39" s="82" customFormat="1" x14ac:dyDescent="0.3">
      <c r="A1244" s="67">
        <v>27</v>
      </c>
      <c r="B1244" s="68"/>
      <c r="C1244" s="68"/>
      <c r="D1244" s="68">
        <v>0</v>
      </c>
      <c r="E1244" s="68"/>
      <c r="F1244" s="68">
        <v>2</v>
      </c>
      <c r="G1244" s="69">
        <v>5.5</v>
      </c>
      <c r="H1244" s="68">
        <v>0</v>
      </c>
      <c r="I1244" s="69">
        <v>5.3575520046180838</v>
      </c>
      <c r="J1244" s="69"/>
      <c r="K1244" s="70">
        <v>3</v>
      </c>
      <c r="L1244" s="68">
        <v>120</v>
      </c>
      <c r="M1244" s="71"/>
      <c r="N1244" s="72">
        <v>5.5</v>
      </c>
      <c r="O1244" s="84">
        <v>120</v>
      </c>
      <c r="P1244" s="73">
        <v>0.82</v>
      </c>
      <c r="Q1244" s="84">
        <v>0</v>
      </c>
      <c r="R1244" s="74">
        <v>6.3923174227787598</v>
      </c>
      <c r="S1244" s="74"/>
      <c r="T1244" s="75">
        <v>7.366322214245816</v>
      </c>
      <c r="U1244" s="75"/>
      <c r="V1244" s="76"/>
      <c r="W1244" s="76">
        <v>0.93</v>
      </c>
      <c r="X1244" s="77">
        <v>180</v>
      </c>
      <c r="Y1244" s="78"/>
      <c r="Z1244" s="79"/>
      <c r="AA1244" s="69"/>
      <c r="AB1244" s="68"/>
      <c r="AC1244" s="68"/>
      <c r="AD1244" s="68"/>
      <c r="AE1244" s="80"/>
      <c r="AF1244" s="80"/>
      <c r="AG1244" s="80"/>
      <c r="AH1244" s="80"/>
      <c r="AI1244" s="81" t="s">
        <v>562</v>
      </c>
      <c r="AJ1244" s="81" t="s">
        <v>561</v>
      </c>
      <c r="AK1244" s="81">
        <v>1992</v>
      </c>
      <c r="AL1244" s="81" t="s">
        <v>362</v>
      </c>
      <c r="AM1244" s="81"/>
    </row>
    <row r="1245" spans="1:39" s="82" customFormat="1" x14ac:dyDescent="0.3">
      <c r="A1245" s="67">
        <v>27</v>
      </c>
      <c r="B1245" s="68"/>
      <c r="C1245" s="68"/>
      <c r="D1245" s="68">
        <v>0</v>
      </c>
      <c r="E1245" s="68"/>
      <c r="F1245" s="68">
        <v>3</v>
      </c>
      <c r="G1245" s="69">
        <v>5.5</v>
      </c>
      <c r="H1245" s="68">
        <v>0</v>
      </c>
      <c r="I1245" s="69">
        <v>5.3575520046180838</v>
      </c>
      <c r="J1245" s="69"/>
      <c r="K1245" s="70">
        <v>3</v>
      </c>
      <c r="L1245" s="68">
        <v>270</v>
      </c>
      <c r="M1245" s="71"/>
      <c r="N1245" s="72">
        <v>5.5</v>
      </c>
      <c r="O1245" s="84">
        <v>270</v>
      </c>
      <c r="P1245" s="73">
        <v>0.94</v>
      </c>
      <c r="Q1245" s="84">
        <v>0</v>
      </c>
      <c r="R1245" s="74">
        <v>6.539158811108031</v>
      </c>
      <c r="S1245" s="74"/>
      <c r="T1245" s="75">
        <v>6.5999128421871269</v>
      </c>
      <c r="U1245" s="75"/>
      <c r="V1245" s="76"/>
      <c r="W1245" s="76">
        <v>0.97</v>
      </c>
      <c r="X1245" s="77">
        <v>365</v>
      </c>
      <c r="Y1245" s="78"/>
      <c r="Z1245" s="79"/>
      <c r="AA1245" s="69"/>
      <c r="AB1245" s="68"/>
      <c r="AC1245" s="68"/>
      <c r="AD1245" s="68"/>
      <c r="AE1245" s="80"/>
      <c r="AF1245" s="80"/>
      <c r="AG1245" s="80"/>
      <c r="AH1245" s="80"/>
      <c r="AI1245" s="81" t="s">
        <v>562</v>
      </c>
      <c r="AJ1245" s="81" t="s">
        <v>561</v>
      </c>
      <c r="AK1245" s="81">
        <v>1992</v>
      </c>
      <c r="AL1245" s="81" t="s">
        <v>362</v>
      </c>
      <c r="AM1245" s="81"/>
    </row>
    <row r="1246" spans="1:39" s="82" customFormat="1" x14ac:dyDescent="0.3">
      <c r="A1246" s="67">
        <v>27</v>
      </c>
      <c r="B1246" s="68"/>
      <c r="C1246" s="68"/>
      <c r="D1246" s="68">
        <v>0</v>
      </c>
      <c r="E1246" s="68"/>
      <c r="F1246" s="68">
        <v>0</v>
      </c>
      <c r="G1246" s="69"/>
      <c r="H1246" s="68">
        <v>0</v>
      </c>
      <c r="I1246" s="69">
        <v>5.7279204545631988</v>
      </c>
      <c r="J1246" s="69"/>
      <c r="K1246" s="70">
        <v>3</v>
      </c>
      <c r="L1246" s="68">
        <v>60</v>
      </c>
      <c r="M1246" s="71"/>
      <c r="N1246" s="72">
        <v>5.7</v>
      </c>
      <c r="O1246" s="84">
        <v>60</v>
      </c>
      <c r="P1246" s="73">
        <v>0.77</v>
      </c>
      <c r="Q1246" s="84">
        <v>0</v>
      </c>
      <c r="R1246" s="74">
        <v>3.7004397181410922</v>
      </c>
      <c r="S1246" s="74"/>
      <c r="T1246" s="75">
        <v>3.1699250014423122</v>
      </c>
      <c r="U1246" s="75"/>
      <c r="V1246" s="76">
        <v>0.231712028737</v>
      </c>
      <c r="W1246" s="76">
        <f>P1247</f>
        <v>0.53</v>
      </c>
      <c r="X1246" s="77">
        <v>120</v>
      </c>
      <c r="Y1246" s="78"/>
      <c r="Z1246" s="79"/>
      <c r="AA1246" s="69"/>
      <c r="AB1246" s="68"/>
      <c r="AC1246" s="68"/>
      <c r="AD1246" s="68"/>
      <c r="AE1246" s="80"/>
      <c r="AF1246" s="80"/>
      <c r="AG1246" s="80"/>
      <c r="AH1246" s="80"/>
      <c r="AI1246" s="81" t="s">
        <v>563</v>
      </c>
      <c r="AJ1246" s="81" t="s">
        <v>561</v>
      </c>
      <c r="AK1246" s="81">
        <v>1992</v>
      </c>
      <c r="AL1246" s="81" t="s">
        <v>362</v>
      </c>
      <c r="AM1246" s="81"/>
    </row>
    <row r="1247" spans="1:39" s="82" customFormat="1" x14ac:dyDescent="0.3">
      <c r="A1247" s="67">
        <v>27</v>
      </c>
      <c r="B1247" s="68"/>
      <c r="C1247" s="68"/>
      <c r="D1247" s="68">
        <v>0</v>
      </c>
      <c r="E1247" s="68"/>
      <c r="F1247" s="68">
        <v>1</v>
      </c>
      <c r="G1247" s="69">
        <v>5.7</v>
      </c>
      <c r="H1247" s="68">
        <v>0</v>
      </c>
      <c r="I1247" s="69">
        <v>5.7279204545631988</v>
      </c>
      <c r="J1247" s="69"/>
      <c r="K1247" s="70">
        <v>3</v>
      </c>
      <c r="L1247" s="68">
        <v>120</v>
      </c>
      <c r="M1247" s="71"/>
      <c r="N1247" s="72">
        <v>5.7</v>
      </c>
      <c r="O1247" s="84">
        <v>120</v>
      </c>
      <c r="P1247" s="73">
        <v>0.53</v>
      </c>
      <c r="Q1247" s="84">
        <v>0</v>
      </c>
      <c r="R1247" s="74">
        <v>3.1699250014423122</v>
      </c>
      <c r="S1247" s="74"/>
      <c r="T1247" s="75">
        <v>4.9541963103868749</v>
      </c>
      <c r="U1247" s="75"/>
      <c r="V1247" s="76"/>
      <c r="W1247" s="76">
        <f>P1248</f>
        <v>0.7</v>
      </c>
      <c r="X1247" s="77">
        <v>180</v>
      </c>
      <c r="Y1247" s="78"/>
      <c r="Z1247" s="79"/>
      <c r="AA1247" s="69"/>
      <c r="AB1247" s="68"/>
      <c r="AC1247" s="68"/>
      <c r="AD1247" s="68"/>
      <c r="AE1247" s="80"/>
      <c r="AF1247" s="80"/>
      <c r="AG1247" s="80"/>
      <c r="AH1247" s="80"/>
      <c r="AI1247" s="81" t="s">
        <v>563</v>
      </c>
      <c r="AJ1247" s="81" t="s">
        <v>561</v>
      </c>
      <c r="AK1247" s="81">
        <v>1992</v>
      </c>
      <c r="AL1247" s="81" t="s">
        <v>362</v>
      </c>
      <c r="AM1247" s="81"/>
    </row>
    <row r="1248" spans="1:39" s="82" customFormat="1" x14ac:dyDescent="0.3">
      <c r="A1248" s="67">
        <v>27</v>
      </c>
      <c r="B1248" s="68"/>
      <c r="C1248" s="68"/>
      <c r="D1248" s="68">
        <v>0</v>
      </c>
      <c r="E1248" s="68"/>
      <c r="F1248" s="68">
        <v>2</v>
      </c>
      <c r="G1248" s="69">
        <v>5.7</v>
      </c>
      <c r="H1248" s="68">
        <v>0</v>
      </c>
      <c r="I1248" s="69">
        <v>5.7279204545631988</v>
      </c>
      <c r="J1248" s="69"/>
      <c r="K1248" s="70">
        <v>3</v>
      </c>
      <c r="L1248" s="68">
        <v>180</v>
      </c>
      <c r="M1248" s="71"/>
      <c r="N1248" s="72">
        <v>5.7</v>
      </c>
      <c r="O1248" s="84">
        <v>180</v>
      </c>
      <c r="P1248" s="73">
        <v>0.7</v>
      </c>
      <c r="Q1248" s="84">
        <v>0</v>
      </c>
      <c r="R1248" s="74">
        <v>4.9541963103868749</v>
      </c>
      <c r="S1248" s="74"/>
      <c r="T1248" s="75">
        <v>5.2854022188622478</v>
      </c>
      <c r="U1248" s="75"/>
      <c r="V1248" s="76"/>
      <c r="W1248" s="76">
        <f>P1249</f>
        <v>0.74</v>
      </c>
      <c r="X1248" s="77">
        <v>270</v>
      </c>
      <c r="Y1248" s="78"/>
      <c r="Z1248" s="79"/>
      <c r="AA1248" s="69"/>
      <c r="AB1248" s="68"/>
      <c r="AC1248" s="68"/>
      <c r="AD1248" s="68"/>
      <c r="AE1248" s="80"/>
      <c r="AF1248" s="80"/>
      <c r="AG1248" s="80"/>
      <c r="AH1248" s="80"/>
      <c r="AI1248" s="81" t="s">
        <v>563</v>
      </c>
      <c r="AJ1248" s="81" t="s">
        <v>561</v>
      </c>
      <c r="AK1248" s="81">
        <v>1992</v>
      </c>
      <c r="AL1248" s="81" t="s">
        <v>362</v>
      </c>
      <c r="AM1248" s="81"/>
    </row>
    <row r="1249" spans="1:39" s="82" customFormat="1" x14ac:dyDescent="0.3">
      <c r="A1249" s="67">
        <v>27</v>
      </c>
      <c r="B1249" s="68"/>
      <c r="C1249" s="68"/>
      <c r="D1249" s="68">
        <v>0</v>
      </c>
      <c r="E1249" s="68"/>
      <c r="F1249" s="68">
        <v>3</v>
      </c>
      <c r="G1249" s="69">
        <v>5.7</v>
      </c>
      <c r="H1249" s="68">
        <v>0</v>
      </c>
      <c r="I1249" s="69">
        <v>5.7279204545631988</v>
      </c>
      <c r="J1249" s="69"/>
      <c r="K1249" s="70">
        <v>3</v>
      </c>
      <c r="L1249" s="68">
        <v>270</v>
      </c>
      <c r="M1249" s="71"/>
      <c r="N1249" s="72"/>
      <c r="O1249" s="84">
        <v>270</v>
      </c>
      <c r="P1249" s="73">
        <v>0.74</v>
      </c>
      <c r="Q1249" s="84">
        <v>0</v>
      </c>
      <c r="R1249" s="74">
        <v>5.2854022188622478</v>
      </c>
      <c r="S1249" s="74"/>
      <c r="T1249" s="75">
        <v>5.3219280948873617</v>
      </c>
      <c r="U1249" s="75"/>
      <c r="V1249" s="76"/>
      <c r="W1249" s="76">
        <v>0.74</v>
      </c>
      <c r="X1249" s="77">
        <v>365</v>
      </c>
      <c r="Y1249" s="78"/>
      <c r="Z1249" s="79"/>
      <c r="AA1249" s="69"/>
      <c r="AB1249" s="68"/>
      <c r="AC1249" s="68"/>
      <c r="AD1249" s="68"/>
      <c r="AE1249" s="80"/>
      <c r="AF1249" s="80"/>
      <c r="AG1249" s="80"/>
      <c r="AH1249" s="80"/>
      <c r="AI1249" s="81" t="s">
        <v>563</v>
      </c>
      <c r="AJ1249" s="81" t="s">
        <v>561</v>
      </c>
      <c r="AK1249" s="81">
        <v>1992</v>
      </c>
      <c r="AL1249" s="81" t="s">
        <v>362</v>
      </c>
      <c r="AM1249" s="81"/>
    </row>
    <row r="1250" spans="1:39" x14ac:dyDescent="0.3">
      <c r="R1250" s="74"/>
    </row>
  </sheetData>
  <sortState ref="A2:AM1230">
    <sortCondition ref="AJ2:AJ1230"/>
    <sortCondition ref="AK2:AK1230"/>
    <sortCondition ref="K2:K1230"/>
    <sortCondition ref="AI2:AI1230"/>
    <sortCondition ref="L2:L1230"/>
  </sortState>
  <conditionalFormatting sqref="K1:K1048576">
    <cfRule type="cellIs" dxfId="98" priority="21" operator="equal">
      <formula>3</formula>
    </cfRule>
    <cfRule type="cellIs" dxfId="97" priority="22" operator="equal">
      <formula>2</formula>
    </cfRule>
    <cfRule type="cellIs" dxfId="96" priority="23" operator="equal">
      <formula>1</formula>
    </cfRule>
  </conditionalFormatting>
  <conditionalFormatting sqref="AI1:AI1048576">
    <cfRule type="expression" dxfId="95" priority="7">
      <formula>$K1=3</formula>
    </cfRule>
    <cfRule type="expression" dxfId="94" priority="8">
      <formula>$K1=2</formula>
    </cfRule>
    <cfRule type="expression" dxfId="93" priority="9">
      <formula>$K1=1</formula>
    </cfRule>
  </conditionalFormatting>
  <conditionalFormatting sqref="AI846">
    <cfRule type="expression" dxfId="92" priority="1">
      <formula>$AO846=3</formula>
    </cfRule>
    <cfRule type="expression" dxfId="91" priority="2">
      <formula>$AO846=2</formula>
    </cfRule>
    <cfRule type="expression" dxfId="90" priority="3">
      <formula>$AO846=1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499"/>
  <sheetViews>
    <sheetView zoomScale="57" zoomScaleNormal="57" workbookViewId="0">
      <pane ySplit="1" topLeftCell="A2" activePane="bottomLeft" state="frozen"/>
      <selection activeCell="W29" sqref="W29"/>
      <selection pane="bottomLeft" activeCell="E5" sqref="E5"/>
    </sheetView>
  </sheetViews>
  <sheetFormatPr defaultRowHeight="20.25" x14ac:dyDescent="0.3"/>
  <cols>
    <col min="1" max="1" width="9.28515625" style="22" bestFit="1" customWidth="1"/>
    <col min="2" max="14" width="9.28515625" style="23" bestFit="1" customWidth="1"/>
    <col min="15" max="15" width="10.42578125" style="15" bestFit="1" customWidth="1"/>
    <col min="16" max="16" width="10.28515625" style="4" customWidth="1"/>
    <col min="17" max="17" width="51" style="15" customWidth="1"/>
    <col min="18" max="18" width="15.42578125" style="15" customWidth="1"/>
    <col min="19" max="19" width="9.28515625" style="15" bestFit="1" customWidth="1"/>
    <col min="20" max="20" width="17.85546875" style="15" customWidth="1"/>
    <col min="21" max="21" width="27.85546875" style="15" customWidth="1"/>
    <col min="22" max="16384" width="9.140625" style="19"/>
  </cols>
  <sheetData>
    <row r="1" spans="1:21" s="60" customFormat="1" ht="45" customHeight="1" x14ac:dyDescent="0.25">
      <c r="A1" s="57" t="s">
        <v>3</v>
      </c>
      <c r="B1" s="58" t="s">
        <v>279</v>
      </c>
      <c r="C1" s="58">
        <v>1</v>
      </c>
      <c r="D1" s="59">
        <v>2</v>
      </c>
      <c r="E1" s="59">
        <v>3</v>
      </c>
      <c r="F1" s="59">
        <v>4</v>
      </c>
      <c r="G1" s="59">
        <v>5</v>
      </c>
      <c r="H1" s="59">
        <v>6</v>
      </c>
      <c r="I1" s="59">
        <v>7</v>
      </c>
      <c r="J1" s="59">
        <v>8</v>
      </c>
      <c r="K1" s="59">
        <v>9</v>
      </c>
      <c r="L1" s="59">
        <v>10</v>
      </c>
      <c r="M1" s="59">
        <v>11</v>
      </c>
      <c r="N1" s="59">
        <v>12</v>
      </c>
      <c r="O1" s="54" t="s">
        <v>26</v>
      </c>
      <c r="P1" s="43" t="s">
        <v>273</v>
      </c>
      <c r="Q1" s="55" t="s">
        <v>13</v>
      </c>
      <c r="R1" s="55" t="s">
        <v>10</v>
      </c>
      <c r="S1" s="55" t="s">
        <v>11</v>
      </c>
      <c r="T1" s="55" t="s">
        <v>14</v>
      </c>
      <c r="U1" s="55" t="s">
        <v>12</v>
      </c>
    </row>
    <row r="2" spans="1:21" x14ac:dyDescent="0.3">
      <c r="A2" s="22">
        <v>282</v>
      </c>
      <c r="B2" s="23">
        <v>70</v>
      </c>
      <c r="C2" s="23">
        <f t="shared" ref="C2:C33" si="0">B2+0</f>
        <v>70</v>
      </c>
      <c r="D2" s="23">
        <f>C2+35</f>
        <v>105</v>
      </c>
      <c r="E2" s="23">
        <f t="shared" ref="E2:E14" si="1">D2+0</f>
        <v>105</v>
      </c>
      <c r="F2" s="23">
        <f>E2+50</f>
        <v>155</v>
      </c>
      <c r="G2" s="23">
        <f t="shared" ref="G2:G13" si="2">F2+0</f>
        <v>155</v>
      </c>
      <c r="H2" s="23">
        <f>G2+57</f>
        <v>212</v>
      </c>
      <c r="I2" s="23">
        <f t="shared" ref="I2:I13" si="3">H2+0</f>
        <v>212</v>
      </c>
      <c r="J2" s="23">
        <f>I2+47</f>
        <v>259</v>
      </c>
      <c r="K2" s="23">
        <f t="shared" ref="K2:K13" si="4">J2+0</f>
        <v>259</v>
      </c>
      <c r="L2" s="23">
        <f>K2+23</f>
        <v>282</v>
      </c>
      <c r="M2" s="23">
        <f t="shared" ref="M2:N26" si="5">L2+0</f>
        <v>282</v>
      </c>
      <c r="N2" s="23">
        <f t="shared" si="5"/>
        <v>282</v>
      </c>
      <c r="O2" s="2">
        <f>9490+21*2</f>
        <v>9532</v>
      </c>
      <c r="P2" s="4">
        <v>1</v>
      </c>
      <c r="Q2" s="15" t="s">
        <v>228</v>
      </c>
      <c r="R2" s="15" t="s">
        <v>226</v>
      </c>
      <c r="S2" s="15">
        <v>1959</v>
      </c>
      <c r="T2" s="15" t="s">
        <v>227</v>
      </c>
    </row>
    <row r="3" spans="1:21" x14ac:dyDescent="0.3">
      <c r="A3" s="22">
        <v>282</v>
      </c>
      <c r="B3" s="23">
        <v>43</v>
      </c>
      <c r="C3" s="23">
        <f t="shared" si="0"/>
        <v>43</v>
      </c>
      <c r="D3" s="23">
        <f>C3+42</f>
        <v>85</v>
      </c>
      <c r="E3" s="23">
        <f t="shared" si="1"/>
        <v>85</v>
      </c>
      <c r="F3" s="23">
        <f>E3+54</f>
        <v>139</v>
      </c>
      <c r="G3" s="23">
        <f t="shared" si="2"/>
        <v>139</v>
      </c>
      <c r="H3" s="23">
        <f>G3+62</f>
        <v>201</v>
      </c>
      <c r="I3" s="23">
        <f t="shared" si="3"/>
        <v>201</v>
      </c>
      <c r="J3" s="23">
        <f>I3+55</f>
        <v>256</v>
      </c>
      <c r="K3" s="23">
        <f t="shared" si="4"/>
        <v>256</v>
      </c>
      <c r="L3" s="23">
        <f>K3+26</f>
        <v>282</v>
      </c>
      <c r="M3" s="23">
        <f t="shared" si="5"/>
        <v>282</v>
      </c>
      <c r="N3" s="23">
        <f t="shared" si="5"/>
        <v>282</v>
      </c>
      <c r="O3" s="2">
        <v>9606</v>
      </c>
      <c r="P3" s="4">
        <v>1</v>
      </c>
      <c r="Q3" s="15" t="s">
        <v>228</v>
      </c>
      <c r="R3" s="15" t="s">
        <v>226</v>
      </c>
      <c r="S3" s="15">
        <v>1959</v>
      </c>
      <c r="T3" s="15" t="s">
        <v>227</v>
      </c>
    </row>
    <row r="4" spans="1:21" x14ac:dyDescent="0.3">
      <c r="A4" s="22">
        <v>255</v>
      </c>
      <c r="B4" s="23">
        <v>175</v>
      </c>
      <c r="C4" s="23">
        <f t="shared" si="0"/>
        <v>175</v>
      </c>
      <c r="D4" s="23">
        <f>C4+35</f>
        <v>210</v>
      </c>
      <c r="E4" s="23">
        <f t="shared" si="1"/>
        <v>210</v>
      </c>
      <c r="F4" s="23">
        <f>E4+16</f>
        <v>226</v>
      </c>
      <c r="G4" s="23">
        <f t="shared" si="2"/>
        <v>226</v>
      </c>
      <c r="H4" s="23">
        <f>G4+13</f>
        <v>239</v>
      </c>
      <c r="I4" s="23">
        <f t="shared" si="3"/>
        <v>239</v>
      </c>
      <c r="J4" s="23">
        <f>I4+9</f>
        <v>248</v>
      </c>
      <c r="K4" s="23">
        <f t="shared" si="4"/>
        <v>248</v>
      </c>
      <c r="L4" s="23">
        <f>K4+7</f>
        <v>255</v>
      </c>
      <c r="M4" s="23">
        <f t="shared" si="5"/>
        <v>255</v>
      </c>
      <c r="N4" s="23">
        <f t="shared" si="5"/>
        <v>255</v>
      </c>
      <c r="O4" s="2">
        <f>876+21*2</f>
        <v>918</v>
      </c>
      <c r="P4" s="4">
        <v>1</v>
      </c>
      <c r="Q4" s="15" t="s">
        <v>229</v>
      </c>
      <c r="R4" s="15" t="s">
        <v>226</v>
      </c>
      <c r="S4" s="15">
        <v>1959</v>
      </c>
      <c r="T4" s="15" t="s">
        <v>227</v>
      </c>
    </row>
    <row r="5" spans="1:21" x14ac:dyDescent="0.3">
      <c r="A5" s="22">
        <v>255</v>
      </c>
      <c r="B5" s="23">
        <v>20</v>
      </c>
      <c r="C5" s="23">
        <f t="shared" si="0"/>
        <v>20</v>
      </c>
      <c r="D5" s="23">
        <f>C5+39</f>
        <v>59</v>
      </c>
      <c r="E5" s="23">
        <f t="shared" si="1"/>
        <v>59</v>
      </c>
      <c r="F5" s="23">
        <f>E5+68</f>
        <v>127</v>
      </c>
      <c r="G5" s="23">
        <f t="shared" si="2"/>
        <v>127</v>
      </c>
      <c r="H5" s="23">
        <f>G5+50</f>
        <v>177</v>
      </c>
      <c r="I5" s="23">
        <f t="shared" si="3"/>
        <v>177</v>
      </c>
      <c r="J5" s="23">
        <f>I5+41</f>
        <v>218</v>
      </c>
      <c r="K5" s="23">
        <f t="shared" si="4"/>
        <v>218</v>
      </c>
      <c r="L5" s="23">
        <f>K5+37</f>
        <v>255</v>
      </c>
      <c r="M5" s="23">
        <f t="shared" si="5"/>
        <v>255</v>
      </c>
      <c r="N5" s="23">
        <f t="shared" si="5"/>
        <v>255</v>
      </c>
      <c r="O5" s="2">
        <v>992</v>
      </c>
      <c r="P5" s="4">
        <v>1</v>
      </c>
      <c r="Q5" s="15" t="s">
        <v>229</v>
      </c>
      <c r="R5" s="15" t="s">
        <v>226</v>
      </c>
      <c r="S5" s="15">
        <v>1959</v>
      </c>
      <c r="T5" s="15" t="s">
        <v>227</v>
      </c>
    </row>
    <row r="6" spans="1:21" x14ac:dyDescent="0.3">
      <c r="A6" s="22">
        <v>282</v>
      </c>
      <c r="B6" s="23">
        <v>57</v>
      </c>
      <c r="C6" s="23">
        <f t="shared" si="0"/>
        <v>57</v>
      </c>
      <c r="D6" s="23">
        <f>C6+30</f>
        <v>87</v>
      </c>
      <c r="E6" s="23">
        <f t="shared" si="1"/>
        <v>87</v>
      </c>
      <c r="F6" s="23">
        <f>E6+55</f>
        <v>142</v>
      </c>
      <c r="G6" s="23">
        <f t="shared" si="2"/>
        <v>142</v>
      </c>
      <c r="H6" s="23">
        <f>G6+54</f>
        <v>196</v>
      </c>
      <c r="I6" s="23">
        <f t="shared" si="3"/>
        <v>196</v>
      </c>
      <c r="J6" s="23">
        <f>I6+50</f>
        <v>246</v>
      </c>
      <c r="K6" s="23">
        <f t="shared" si="4"/>
        <v>246</v>
      </c>
      <c r="L6" s="23">
        <f>K6+36</f>
        <v>282</v>
      </c>
      <c r="M6" s="23">
        <f t="shared" si="5"/>
        <v>282</v>
      </c>
      <c r="N6" s="23">
        <f t="shared" si="5"/>
        <v>282</v>
      </c>
      <c r="O6" s="2">
        <f>9490+21*1</f>
        <v>9511</v>
      </c>
      <c r="P6" s="4">
        <v>2</v>
      </c>
      <c r="Q6" s="15" t="s">
        <v>228</v>
      </c>
      <c r="R6" s="15" t="s">
        <v>226</v>
      </c>
      <c r="S6" s="15">
        <v>1959</v>
      </c>
      <c r="T6" s="15" t="s">
        <v>227</v>
      </c>
    </row>
    <row r="7" spans="1:21" x14ac:dyDescent="0.3">
      <c r="A7" s="22">
        <v>282</v>
      </c>
      <c r="B7" s="23">
        <v>30</v>
      </c>
      <c r="C7" s="23">
        <f t="shared" si="0"/>
        <v>30</v>
      </c>
      <c r="D7" s="23">
        <f>C7+43</f>
        <v>73</v>
      </c>
      <c r="E7" s="23">
        <f t="shared" si="1"/>
        <v>73</v>
      </c>
      <c r="F7" s="23">
        <f>E7+53</f>
        <v>126</v>
      </c>
      <c r="G7" s="23">
        <f t="shared" si="2"/>
        <v>126</v>
      </c>
      <c r="H7" s="23">
        <f>G7+52</f>
        <v>178</v>
      </c>
      <c r="I7" s="23">
        <f t="shared" si="3"/>
        <v>178</v>
      </c>
      <c r="J7" s="23">
        <f>I7+64</f>
        <v>242</v>
      </c>
      <c r="K7" s="23">
        <f t="shared" si="4"/>
        <v>242</v>
      </c>
      <c r="L7" s="23">
        <f>K7+40</f>
        <v>282</v>
      </c>
      <c r="M7" s="23">
        <f t="shared" si="5"/>
        <v>282</v>
      </c>
      <c r="N7" s="23">
        <f t="shared" si="5"/>
        <v>282</v>
      </c>
      <c r="O7" s="2">
        <v>9585</v>
      </c>
      <c r="P7" s="4">
        <v>2</v>
      </c>
      <c r="Q7" s="15" t="s">
        <v>228</v>
      </c>
      <c r="R7" s="15" t="s">
        <v>226</v>
      </c>
      <c r="S7" s="15">
        <v>1959</v>
      </c>
      <c r="T7" s="15" t="s">
        <v>227</v>
      </c>
    </row>
    <row r="8" spans="1:21" x14ac:dyDescent="0.3">
      <c r="A8" s="22">
        <v>255</v>
      </c>
      <c r="B8" s="23">
        <v>104</v>
      </c>
      <c r="C8" s="23">
        <f t="shared" si="0"/>
        <v>104</v>
      </c>
      <c r="D8" s="23">
        <f>C8+60</f>
        <v>164</v>
      </c>
      <c r="E8" s="23">
        <f t="shared" si="1"/>
        <v>164</v>
      </c>
      <c r="F8" s="23">
        <f>E8+39</f>
        <v>203</v>
      </c>
      <c r="G8" s="23">
        <f t="shared" si="2"/>
        <v>203</v>
      </c>
      <c r="H8" s="23">
        <f>G8+24</f>
        <v>227</v>
      </c>
      <c r="I8" s="23">
        <f t="shared" si="3"/>
        <v>227</v>
      </c>
      <c r="J8" s="23">
        <f>I8+17</f>
        <v>244</v>
      </c>
      <c r="K8" s="23">
        <f t="shared" si="4"/>
        <v>244</v>
      </c>
      <c r="L8" s="23">
        <f>K8+11</f>
        <v>255</v>
      </c>
      <c r="M8" s="23">
        <f t="shared" si="5"/>
        <v>255</v>
      </c>
      <c r="N8" s="23">
        <f t="shared" si="5"/>
        <v>255</v>
      </c>
      <c r="O8" s="2">
        <f>876+21*1</f>
        <v>897</v>
      </c>
      <c r="P8" s="4">
        <v>2</v>
      </c>
      <c r="Q8" s="15" t="s">
        <v>229</v>
      </c>
      <c r="R8" s="15" t="s">
        <v>226</v>
      </c>
      <c r="S8" s="15">
        <v>1959</v>
      </c>
      <c r="T8" s="15" t="s">
        <v>227</v>
      </c>
    </row>
    <row r="9" spans="1:21" x14ac:dyDescent="0.3">
      <c r="A9" s="22">
        <v>255</v>
      </c>
      <c r="B9" s="23">
        <v>20</v>
      </c>
      <c r="C9" s="23">
        <f t="shared" si="0"/>
        <v>20</v>
      </c>
      <c r="D9" s="23">
        <f>C9+24</f>
        <v>44</v>
      </c>
      <c r="E9" s="23">
        <f t="shared" si="1"/>
        <v>44</v>
      </c>
      <c r="F9" s="23">
        <f>E9+45</f>
        <v>89</v>
      </c>
      <c r="G9" s="23">
        <f t="shared" si="2"/>
        <v>89</v>
      </c>
      <c r="H9" s="23">
        <f>G9+45</f>
        <v>134</v>
      </c>
      <c r="I9" s="23">
        <f t="shared" si="3"/>
        <v>134</v>
      </c>
      <c r="J9" s="23">
        <f>I9+48</f>
        <v>182</v>
      </c>
      <c r="K9" s="23">
        <f t="shared" si="4"/>
        <v>182</v>
      </c>
      <c r="L9" s="23">
        <f>K9+73</f>
        <v>255</v>
      </c>
      <c r="M9" s="23">
        <f t="shared" si="5"/>
        <v>255</v>
      </c>
      <c r="N9" s="23">
        <f t="shared" si="5"/>
        <v>255</v>
      </c>
      <c r="O9" s="2">
        <v>971</v>
      </c>
      <c r="P9" s="4">
        <v>2</v>
      </c>
      <c r="Q9" s="15" t="s">
        <v>229</v>
      </c>
      <c r="R9" s="15" t="s">
        <v>226</v>
      </c>
      <c r="S9" s="15">
        <v>1959</v>
      </c>
      <c r="T9" s="15" t="s">
        <v>227</v>
      </c>
    </row>
    <row r="10" spans="1:21" x14ac:dyDescent="0.3">
      <c r="A10" s="22">
        <v>281</v>
      </c>
      <c r="B10" s="23">
        <v>114</v>
      </c>
      <c r="C10" s="23">
        <f t="shared" si="0"/>
        <v>114</v>
      </c>
      <c r="D10" s="23">
        <f>C10+32</f>
        <v>146</v>
      </c>
      <c r="E10" s="23">
        <f t="shared" si="1"/>
        <v>146</v>
      </c>
      <c r="F10" s="23">
        <f>E10+35</f>
        <v>181</v>
      </c>
      <c r="G10" s="23">
        <f t="shared" si="2"/>
        <v>181</v>
      </c>
      <c r="H10" s="23">
        <f>G10+53</f>
        <v>234</v>
      </c>
      <c r="I10" s="23">
        <f t="shared" si="3"/>
        <v>234</v>
      </c>
      <c r="J10" s="23">
        <f>I10+34</f>
        <v>268</v>
      </c>
      <c r="K10" s="23">
        <f t="shared" si="4"/>
        <v>268</v>
      </c>
      <c r="L10" s="23">
        <f>K10+13</f>
        <v>281</v>
      </c>
      <c r="M10" s="23">
        <f t="shared" si="5"/>
        <v>281</v>
      </c>
      <c r="N10" s="23">
        <f t="shared" si="5"/>
        <v>281</v>
      </c>
      <c r="O10" s="2">
        <f>9490+21*3</f>
        <v>9553</v>
      </c>
      <c r="P10" s="4">
        <v>3</v>
      </c>
      <c r="Q10" s="15" t="s">
        <v>228</v>
      </c>
      <c r="R10" s="15" t="s">
        <v>226</v>
      </c>
      <c r="S10" s="15">
        <v>1959</v>
      </c>
      <c r="T10" s="15" t="s">
        <v>227</v>
      </c>
    </row>
    <row r="11" spans="1:21" x14ac:dyDescent="0.3">
      <c r="A11" s="22">
        <v>281</v>
      </c>
      <c r="B11" s="23">
        <v>74</v>
      </c>
      <c r="C11" s="23">
        <f t="shared" si="0"/>
        <v>74</v>
      </c>
      <c r="D11" s="23">
        <f>C11+42</f>
        <v>116</v>
      </c>
      <c r="E11" s="23">
        <f t="shared" si="1"/>
        <v>116</v>
      </c>
      <c r="F11" s="23">
        <f>E11+55</f>
        <v>171</v>
      </c>
      <c r="G11" s="23">
        <f t="shared" si="2"/>
        <v>171</v>
      </c>
      <c r="H11" s="23">
        <f>G11+52</f>
        <v>223</v>
      </c>
      <c r="I11" s="23">
        <f t="shared" si="3"/>
        <v>223</v>
      </c>
      <c r="J11" s="23">
        <f>I11+38</f>
        <v>261</v>
      </c>
      <c r="K11" s="23">
        <f t="shared" si="4"/>
        <v>261</v>
      </c>
      <c r="L11" s="23">
        <f>K11+20</f>
        <v>281</v>
      </c>
      <c r="M11" s="23">
        <f t="shared" si="5"/>
        <v>281</v>
      </c>
      <c r="N11" s="23">
        <f t="shared" si="5"/>
        <v>281</v>
      </c>
      <c r="O11" s="2">
        <v>9627</v>
      </c>
      <c r="P11" s="4">
        <v>3</v>
      </c>
      <c r="Q11" s="15" t="s">
        <v>228</v>
      </c>
      <c r="R11" s="15" t="s">
        <v>226</v>
      </c>
      <c r="S11" s="15">
        <v>1959</v>
      </c>
      <c r="T11" s="15" t="s">
        <v>227</v>
      </c>
    </row>
    <row r="12" spans="1:21" x14ac:dyDescent="0.3">
      <c r="A12" s="22">
        <v>255</v>
      </c>
      <c r="B12" s="23">
        <v>207</v>
      </c>
      <c r="C12" s="23">
        <f t="shared" si="0"/>
        <v>207</v>
      </c>
      <c r="D12" s="23">
        <f>C12+19</f>
        <v>226</v>
      </c>
      <c r="E12" s="23">
        <f t="shared" si="1"/>
        <v>226</v>
      </c>
      <c r="F12" s="23">
        <f>E12+10</f>
        <v>236</v>
      </c>
      <c r="G12" s="23">
        <f t="shared" si="2"/>
        <v>236</v>
      </c>
      <c r="H12" s="23">
        <f>G12+8</f>
        <v>244</v>
      </c>
      <c r="I12" s="23">
        <f t="shared" si="3"/>
        <v>244</v>
      </c>
      <c r="J12" s="23">
        <f>I12+7</f>
        <v>251</v>
      </c>
      <c r="K12" s="23">
        <f t="shared" si="4"/>
        <v>251</v>
      </c>
      <c r="L12" s="23">
        <f>K12+4</f>
        <v>255</v>
      </c>
      <c r="M12" s="23">
        <f t="shared" si="5"/>
        <v>255</v>
      </c>
      <c r="N12" s="23">
        <f t="shared" si="5"/>
        <v>255</v>
      </c>
      <c r="O12" s="2">
        <f>876+21*3</f>
        <v>939</v>
      </c>
      <c r="P12" s="4">
        <v>3</v>
      </c>
      <c r="Q12" s="15" t="s">
        <v>229</v>
      </c>
      <c r="R12" s="15" t="s">
        <v>226</v>
      </c>
      <c r="S12" s="15">
        <v>1959</v>
      </c>
      <c r="T12" s="15" t="s">
        <v>227</v>
      </c>
    </row>
    <row r="13" spans="1:21" x14ac:dyDescent="0.3">
      <c r="A13" s="22">
        <v>255</v>
      </c>
      <c r="B13" s="23">
        <v>31</v>
      </c>
      <c r="C13" s="23">
        <f t="shared" si="0"/>
        <v>31</v>
      </c>
      <c r="D13" s="23">
        <f>C13+34</f>
        <v>65</v>
      </c>
      <c r="E13" s="23">
        <f t="shared" si="1"/>
        <v>65</v>
      </c>
      <c r="F13" s="23">
        <f>E13+52</f>
        <v>117</v>
      </c>
      <c r="G13" s="23">
        <f t="shared" si="2"/>
        <v>117</v>
      </c>
      <c r="H13" s="23">
        <f>G13+63</f>
        <v>180</v>
      </c>
      <c r="I13" s="23">
        <f t="shared" si="3"/>
        <v>180</v>
      </c>
      <c r="J13" s="23">
        <f>I13+51</f>
        <v>231</v>
      </c>
      <c r="K13" s="23">
        <f t="shared" si="4"/>
        <v>231</v>
      </c>
      <c r="L13" s="23">
        <f>K13+24</f>
        <v>255</v>
      </c>
      <c r="M13" s="23">
        <f t="shared" si="5"/>
        <v>255</v>
      </c>
      <c r="N13" s="23">
        <f t="shared" si="5"/>
        <v>255</v>
      </c>
      <c r="O13" s="2">
        <v>1013</v>
      </c>
      <c r="P13" s="4">
        <v>3</v>
      </c>
      <c r="Q13" s="15" t="s">
        <v>229</v>
      </c>
      <c r="R13" s="15" t="s">
        <v>226</v>
      </c>
      <c r="S13" s="15">
        <v>1959</v>
      </c>
      <c r="T13" s="15" t="s">
        <v>227</v>
      </c>
    </row>
    <row r="14" spans="1:21" x14ac:dyDescent="0.3">
      <c r="A14" s="22">
        <v>91</v>
      </c>
      <c r="B14" s="23">
        <v>1</v>
      </c>
      <c r="C14" s="23">
        <f t="shared" si="0"/>
        <v>1</v>
      </c>
      <c r="D14" s="23">
        <f>C14+0</f>
        <v>1</v>
      </c>
      <c r="E14" s="23">
        <f t="shared" si="1"/>
        <v>1</v>
      </c>
      <c r="F14" s="23">
        <f>E14+2</f>
        <v>3</v>
      </c>
      <c r="G14" s="23">
        <f>F14+11</f>
        <v>14</v>
      </c>
      <c r="H14" s="23">
        <f>G14+7</f>
        <v>21</v>
      </c>
      <c r="I14" s="23">
        <f>H14+15</f>
        <v>36</v>
      </c>
      <c r="J14" s="23">
        <f>I14+15</f>
        <v>51</v>
      </c>
      <c r="K14" s="23">
        <f>J14+24</f>
        <v>75</v>
      </c>
      <c r="L14" s="23">
        <f>K14+16</f>
        <v>91</v>
      </c>
      <c r="M14" s="23">
        <f t="shared" si="5"/>
        <v>91</v>
      </c>
      <c r="N14" s="23">
        <f t="shared" si="5"/>
        <v>91</v>
      </c>
      <c r="O14" s="15">
        <v>816</v>
      </c>
      <c r="P14" s="4">
        <v>1</v>
      </c>
      <c r="Q14" s="15" t="s">
        <v>551</v>
      </c>
      <c r="R14" s="15" t="s">
        <v>549</v>
      </c>
      <c r="S14" s="15">
        <v>1966</v>
      </c>
      <c r="T14" s="15" t="s">
        <v>550</v>
      </c>
    </row>
    <row r="15" spans="1:21" x14ac:dyDescent="0.3">
      <c r="A15" s="22">
        <v>91</v>
      </c>
      <c r="B15" s="23">
        <v>0</v>
      </c>
      <c r="C15" s="23">
        <f t="shared" si="0"/>
        <v>0</v>
      </c>
      <c r="D15" s="23">
        <f>C15+0</f>
        <v>0</v>
      </c>
      <c r="E15" s="23">
        <f>D15+10</f>
        <v>10</v>
      </c>
      <c r="F15" s="23">
        <f>E15+7</f>
        <v>17</v>
      </c>
      <c r="G15" s="23">
        <f>F15+17</f>
        <v>34</v>
      </c>
      <c r="H15" s="23">
        <f>G15+16</f>
        <v>50</v>
      </c>
      <c r="I15" s="23">
        <f>H15+24</f>
        <v>74</v>
      </c>
      <c r="J15" s="23">
        <f>I15+8</f>
        <v>82</v>
      </c>
      <c r="K15" s="23">
        <f>J15+8</f>
        <v>90</v>
      </c>
      <c r="L15" s="23">
        <f>K15+1</f>
        <v>91</v>
      </c>
      <c r="M15" s="23">
        <f t="shared" si="5"/>
        <v>91</v>
      </c>
      <c r="N15" s="23">
        <f t="shared" si="5"/>
        <v>91</v>
      </c>
      <c r="O15" s="15">
        <v>1151</v>
      </c>
      <c r="P15" s="4">
        <v>1</v>
      </c>
      <c r="Q15" s="15" t="s">
        <v>551</v>
      </c>
      <c r="R15" s="15" t="s">
        <v>549</v>
      </c>
      <c r="S15" s="15">
        <v>1966</v>
      </c>
      <c r="T15" s="15" t="s">
        <v>550</v>
      </c>
    </row>
    <row r="16" spans="1:21" x14ac:dyDescent="0.3">
      <c r="A16" s="22">
        <v>91</v>
      </c>
      <c r="B16" s="23">
        <v>1</v>
      </c>
      <c r="C16" s="23">
        <f t="shared" si="0"/>
        <v>1</v>
      </c>
      <c r="D16" s="23">
        <f>C16+0</f>
        <v>1</v>
      </c>
      <c r="E16" s="23">
        <f>D16+8</f>
        <v>9</v>
      </c>
      <c r="F16" s="23">
        <f>E16+11</f>
        <v>20</v>
      </c>
      <c r="G16" s="23">
        <f>F16+22</f>
        <v>42</v>
      </c>
      <c r="H16" s="23">
        <f>G16+12</f>
        <v>54</v>
      </c>
      <c r="I16" s="23">
        <f>H16+23</f>
        <v>77</v>
      </c>
      <c r="J16" s="23">
        <f>I16+4</f>
        <v>81</v>
      </c>
      <c r="K16" s="23">
        <f>J16+5</f>
        <v>86</v>
      </c>
      <c r="L16" s="23">
        <f>K16+5</f>
        <v>91</v>
      </c>
      <c r="M16" s="23">
        <f t="shared" si="5"/>
        <v>91</v>
      </c>
      <c r="N16" s="23">
        <f t="shared" si="5"/>
        <v>91</v>
      </c>
      <c r="O16" s="15">
        <v>1516</v>
      </c>
      <c r="P16" s="4">
        <v>1</v>
      </c>
      <c r="Q16" s="15" t="s">
        <v>551</v>
      </c>
      <c r="R16" s="15" t="s">
        <v>549</v>
      </c>
      <c r="S16" s="15">
        <v>1966</v>
      </c>
      <c r="T16" s="15" t="s">
        <v>550</v>
      </c>
    </row>
    <row r="17" spans="1:20" x14ac:dyDescent="0.3">
      <c r="A17" s="22">
        <v>91</v>
      </c>
      <c r="B17" s="23">
        <v>1</v>
      </c>
      <c r="C17" s="23">
        <f t="shared" si="0"/>
        <v>1</v>
      </c>
      <c r="D17" s="23">
        <f>C17+1</f>
        <v>2</v>
      </c>
      <c r="E17" s="23">
        <f>D17+15</f>
        <v>17</v>
      </c>
      <c r="F17" s="23">
        <f>E17+8</f>
        <v>25</v>
      </c>
      <c r="G17" s="23">
        <f>F17+17</f>
        <v>42</v>
      </c>
      <c r="H17" s="23">
        <f>G17+9</f>
        <v>51</v>
      </c>
      <c r="I17" s="23">
        <f>H17+25</f>
        <v>76</v>
      </c>
      <c r="J17" s="23">
        <f>I17+7</f>
        <v>83</v>
      </c>
      <c r="K17" s="23">
        <f>J17+6</f>
        <v>89</v>
      </c>
      <c r="L17" s="23">
        <f>K17+2</f>
        <v>91</v>
      </c>
      <c r="M17" s="23">
        <f t="shared" si="5"/>
        <v>91</v>
      </c>
      <c r="N17" s="23">
        <f t="shared" si="5"/>
        <v>91</v>
      </c>
      <c r="O17" s="15">
        <v>1881</v>
      </c>
      <c r="P17" s="4">
        <v>1</v>
      </c>
      <c r="Q17" s="15" t="s">
        <v>551</v>
      </c>
      <c r="R17" s="15" t="s">
        <v>549</v>
      </c>
      <c r="S17" s="15">
        <v>1966</v>
      </c>
      <c r="T17" s="15" t="s">
        <v>550</v>
      </c>
    </row>
    <row r="18" spans="1:20" x14ac:dyDescent="0.3">
      <c r="A18" s="22">
        <v>91</v>
      </c>
      <c r="B18" s="23">
        <v>0</v>
      </c>
      <c r="C18" s="23">
        <f t="shared" si="0"/>
        <v>0</v>
      </c>
      <c r="D18" s="23">
        <f>C18+0</f>
        <v>0</v>
      </c>
      <c r="E18" s="23">
        <f>D18+0</f>
        <v>0</v>
      </c>
      <c r="F18" s="23">
        <f>E18+0</f>
        <v>0</v>
      </c>
      <c r="G18" s="23">
        <f>F18+0</f>
        <v>0</v>
      </c>
      <c r="H18" s="23">
        <f>G18+0</f>
        <v>0</v>
      </c>
      <c r="I18" s="23">
        <f>H18+2</f>
        <v>2</v>
      </c>
      <c r="J18" s="23">
        <f>I18+2</f>
        <v>4</v>
      </c>
      <c r="K18" s="23">
        <f>J18+27</f>
        <v>31</v>
      </c>
      <c r="L18" s="23">
        <f>K18+60</f>
        <v>91</v>
      </c>
      <c r="M18" s="23">
        <f t="shared" si="5"/>
        <v>91</v>
      </c>
      <c r="N18" s="23">
        <f t="shared" si="5"/>
        <v>91</v>
      </c>
      <c r="O18" s="15">
        <v>816</v>
      </c>
      <c r="P18" s="4">
        <v>2</v>
      </c>
      <c r="Q18" s="15" t="s">
        <v>551</v>
      </c>
      <c r="R18" s="15" t="s">
        <v>549</v>
      </c>
      <c r="S18" s="15">
        <v>1966</v>
      </c>
      <c r="T18" s="15" t="s">
        <v>550</v>
      </c>
    </row>
    <row r="19" spans="1:20" x14ac:dyDescent="0.3">
      <c r="A19" s="22">
        <v>91</v>
      </c>
      <c r="B19" s="23">
        <v>0</v>
      </c>
      <c r="C19" s="23">
        <f t="shared" si="0"/>
        <v>0</v>
      </c>
      <c r="D19" s="23">
        <f t="shared" ref="D19:F21" si="6">C19+0</f>
        <v>0</v>
      </c>
      <c r="E19" s="23">
        <f t="shared" si="6"/>
        <v>0</v>
      </c>
      <c r="F19" s="23">
        <f t="shared" si="6"/>
        <v>0</v>
      </c>
      <c r="G19" s="23">
        <f>F19+1</f>
        <v>1</v>
      </c>
      <c r="H19" s="23">
        <f>G19+5</f>
        <v>6</v>
      </c>
      <c r="I19" s="23">
        <f>H19+13</f>
        <v>19</v>
      </c>
      <c r="J19" s="23">
        <f>I19+16</f>
        <v>35</v>
      </c>
      <c r="K19" s="23">
        <f>J19+27</f>
        <v>62</v>
      </c>
      <c r="L19" s="23">
        <f>K19+29</f>
        <v>91</v>
      </c>
      <c r="M19" s="23">
        <f t="shared" si="5"/>
        <v>91</v>
      </c>
      <c r="N19" s="23">
        <f t="shared" si="5"/>
        <v>91</v>
      </c>
      <c r="O19" s="15">
        <v>1151</v>
      </c>
      <c r="P19" s="4">
        <v>2</v>
      </c>
      <c r="Q19" s="15" t="s">
        <v>551</v>
      </c>
      <c r="R19" s="15" t="s">
        <v>549</v>
      </c>
      <c r="S19" s="15">
        <v>1966</v>
      </c>
      <c r="T19" s="15" t="s">
        <v>550</v>
      </c>
    </row>
    <row r="20" spans="1:20" x14ac:dyDescent="0.3">
      <c r="A20" s="22">
        <v>91</v>
      </c>
      <c r="B20" s="23">
        <v>0</v>
      </c>
      <c r="C20" s="23">
        <f t="shared" si="0"/>
        <v>0</v>
      </c>
      <c r="D20" s="23">
        <f t="shared" si="6"/>
        <v>0</v>
      </c>
      <c r="E20" s="23">
        <f t="shared" si="6"/>
        <v>0</v>
      </c>
      <c r="F20" s="23">
        <f t="shared" si="6"/>
        <v>0</v>
      </c>
      <c r="G20" s="23">
        <f>F20+3</f>
        <v>3</v>
      </c>
      <c r="H20" s="23">
        <f>G20+2</f>
        <v>5</v>
      </c>
      <c r="I20" s="23">
        <f>H20+23</f>
        <v>28</v>
      </c>
      <c r="J20" s="23">
        <f>I20+11</f>
        <v>39</v>
      </c>
      <c r="K20" s="23">
        <f>J20+25</f>
        <v>64</v>
      </c>
      <c r="L20" s="23">
        <f>K20+27</f>
        <v>91</v>
      </c>
      <c r="M20" s="23">
        <f t="shared" si="5"/>
        <v>91</v>
      </c>
      <c r="N20" s="23">
        <f t="shared" si="5"/>
        <v>91</v>
      </c>
      <c r="O20" s="15">
        <v>1516</v>
      </c>
      <c r="P20" s="4">
        <v>2</v>
      </c>
      <c r="Q20" s="15" t="s">
        <v>551</v>
      </c>
      <c r="R20" s="15" t="s">
        <v>549</v>
      </c>
      <c r="S20" s="15">
        <v>1966</v>
      </c>
      <c r="T20" s="15" t="s">
        <v>550</v>
      </c>
    </row>
    <row r="21" spans="1:20" x14ac:dyDescent="0.3">
      <c r="A21" s="22">
        <v>91</v>
      </c>
      <c r="B21" s="23">
        <v>0</v>
      </c>
      <c r="C21" s="23">
        <f t="shared" si="0"/>
        <v>0</v>
      </c>
      <c r="D21" s="23">
        <f t="shared" si="6"/>
        <v>0</v>
      </c>
      <c r="E21" s="23">
        <f t="shared" si="6"/>
        <v>0</v>
      </c>
      <c r="F21" s="23">
        <f t="shared" si="6"/>
        <v>0</v>
      </c>
      <c r="G21" s="23">
        <f>F21+1</f>
        <v>1</v>
      </c>
      <c r="H21" s="23">
        <f>G21+8</f>
        <v>9</v>
      </c>
      <c r="I21" s="23">
        <f>H21+19</f>
        <v>28</v>
      </c>
      <c r="J21" s="23">
        <f>I21+11</f>
        <v>39</v>
      </c>
      <c r="K21" s="23">
        <f>J21+31</f>
        <v>70</v>
      </c>
      <c r="L21" s="23">
        <f>K21+21</f>
        <v>91</v>
      </c>
      <c r="M21" s="23">
        <f t="shared" si="5"/>
        <v>91</v>
      </c>
      <c r="N21" s="23">
        <f t="shared" si="5"/>
        <v>91</v>
      </c>
      <c r="O21" s="15">
        <v>1881</v>
      </c>
      <c r="P21" s="4">
        <v>2</v>
      </c>
      <c r="Q21" s="15" t="s">
        <v>551</v>
      </c>
      <c r="R21" s="15" t="s">
        <v>549</v>
      </c>
      <c r="S21" s="15">
        <v>1966</v>
      </c>
      <c r="T21" s="15" t="s">
        <v>550</v>
      </c>
    </row>
    <row r="22" spans="1:20" x14ac:dyDescent="0.3">
      <c r="A22" s="22">
        <v>91</v>
      </c>
      <c r="B22" s="23">
        <v>0</v>
      </c>
      <c r="C22" s="23">
        <f t="shared" si="0"/>
        <v>0</v>
      </c>
      <c r="D22" s="23">
        <f>C22+0</f>
        <v>0</v>
      </c>
      <c r="E22" s="23">
        <f>D22+1</f>
        <v>1</v>
      </c>
      <c r="F22" s="23">
        <f>E22+0</f>
        <v>1</v>
      </c>
      <c r="G22" s="23">
        <f>F22+1</f>
        <v>2</v>
      </c>
      <c r="H22" s="23">
        <f>G22+2</f>
        <v>4</v>
      </c>
      <c r="I22" s="23">
        <f>H22+6</f>
        <v>10</v>
      </c>
      <c r="J22" s="23">
        <f>I22+14</f>
        <v>24</v>
      </c>
      <c r="K22" s="23">
        <f>J22+37</f>
        <v>61</v>
      </c>
      <c r="L22" s="23">
        <f>K22+30</f>
        <v>91</v>
      </c>
      <c r="M22" s="23">
        <f t="shared" si="5"/>
        <v>91</v>
      </c>
      <c r="N22" s="23">
        <f t="shared" si="5"/>
        <v>91</v>
      </c>
      <c r="O22" s="15">
        <v>816</v>
      </c>
      <c r="P22" s="4">
        <v>3</v>
      </c>
      <c r="Q22" s="15" t="s">
        <v>551</v>
      </c>
      <c r="R22" s="15" t="s">
        <v>549</v>
      </c>
      <c r="S22" s="15">
        <v>1966</v>
      </c>
      <c r="T22" s="15" t="s">
        <v>550</v>
      </c>
    </row>
    <row r="23" spans="1:20" x14ac:dyDescent="0.3">
      <c r="A23" s="22">
        <v>91</v>
      </c>
      <c r="B23" s="23">
        <v>0</v>
      </c>
      <c r="C23" s="23">
        <f t="shared" si="0"/>
        <v>0</v>
      </c>
      <c r="D23" s="23">
        <f>C23+0</f>
        <v>0</v>
      </c>
      <c r="E23" s="23">
        <f>D23+3</f>
        <v>3</v>
      </c>
      <c r="F23" s="23">
        <f>E23+3</f>
        <v>6</v>
      </c>
      <c r="G23" s="23">
        <f>F23+7</f>
        <v>13</v>
      </c>
      <c r="H23" s="23">
        <f>G23+10</f>
        <v>23</v>
      </c>
      <c r="I23" s="23">
        <f>H23+26</f>
        <v>49</v>
      </c>
      <c r="J23" s="23">
        <f>I23+16</f>
        <v>65</v>
      </c>
      <c r="K23" s="23">
        <f>J23+17</f>
        <v>82</v>
      </c>
      <c r="L23" s="23">
        <f>K23+9</f>
        <v>91</v>
      </c>
      <c r="M23" s="23">
        <f t="shared" si="5"/>
        <v>91</v>
      </c>
      <c r="N23" s="23">
        <f t="shared" si="5"/>
        <v>91</v>
      </c>
      <c r="O23" s="15">
        <v>1151</v>
      </c>
      <c r="P23" s="4">
        <v>3</v>
      </c>
      <c r="Q23" s="15" t="s">
        <v>551</v>
      </c>
      <c r="R23" s="15" t="s">
        <v>549</v>
      </c>
      <c r="S23" s="15">
        <v>1966</v>
      </c>
      <c r="T23" s="15" t="s">
        <v>550</v>
      </c>
    </row>
    <row r="24" spans="1:20" x14ac:dyDescent="0.3">
      <c r="A24" s="22">
        <v>91</v>
      </c>
      <c r="B24" s="23">
        <v>0</v>
      </c>
      <c r="C24" s="23">
        <f t="shared" si="0"/>
        <v>0</v>
      </c>
      <c r="D24" s="23">
        <f>C24+1</f>
        <v>1</v>
      </c>
      <c r="E24" s="23">
        <f>D24+4</f>
        <v>5</v>
      </c>
      <c r="F24" s="23">
        <f>E24+4</f>
        <v>9</v>
      </c>
      <c r="G24" s="23">
        <f>F24+16</f>
        <v>25</v>
      </c>
      <c r="H24" s="23">
        <f>G24+9</f>
        <v>34</v>
      </c>
      <c r="I24" s="23">
        <f>H24+27</f>
        <v>61</v>
      </c>
      <c r="J24" s="23">
        <f>I24+14</f>
        <v>75</v>
      </c>
      <c r="K24" s="23">
        <f>J24+10</f>
        <v>85</v>
      </c>
      <c r="L24" s="23">
        <f>K24+6</f>
        <v>91</v>
      </c>
      <c r="M24" s="23">
        <f t="shared" si="5"/>
        <v>91</v>
      </c>
      <c r="N24" s="23">
        <f t="shared" si="5"/>
        <v>91</v>
      </c>
      <c r="O24" s="15">
        <v>1516</v>
      </c>
      <c r="P24" s="4">
        <v>3</v>
      </c>
      <c r="Q24" s="15" t="s">
        <v>551</v>
      </c>
      <c r="R24" s="15" t="s">
        <v>549</v>
      </c>
      <c r="S24" s="15">
        <v>1966</v>
      </c>
      <c r="T24" s="15" t="s">
        <v>550</v>
      </c>
    </row>
    <row r="25" spans="1:20" x14ac:dyDescent="0.3">
      <c r="A25" s="22">
        <v>91</v>
      </c>
      <c r="B25" s="23">
        <v>0</v>
      </c>
      <c r="C25" s="23">
        <f t="shared" si="0"/>
        <v>0</v>
      </c>
      <c r="D25" s="23">
        <f>C25+3</f>
        <v>3</v>
      </c>
      <c r="E25" s="23">
        <f>D25+2</f>
        <v>5</v>
      </c>
      <c r="F25" s="23">
        <f>E25+1</f>
        <v>6</v>
      </c>
      <c r="G25" s="23">
        <f>F25+17</f>
        <v>23</v>
      </c>
      <c r="H25" s="23">
        <f>G25+13</f>
        <v>36</v>
      </c>
      <c r="I25" s="23">
        <f>H25+24</f>
        <v>60</v>
      </c>
      <c r="J25" s="23">
        <f>I25+7</f>
        <v>67</v>
      </c>
      <c r="K25" s="23">
        <f>J25+19</f>
        <v>86</v>
      </c>
      <c r="L25" s="23">
        <f>K25+5</f>
        <v>91</v>
      </c>
      <c r="M25" s="23">
        <f t="shared" si="5"/>
        <v>91</v>
      </c>
      <c r="N25" s="23">
        <f t="shared" si="5"/>
        <v>91</v>
      </c>
      <c r="O25" s="15">
        <v>1881</v>
      </c>
      <c r="P25" s="4">
        <v>3</v>
      </c>
      <c r="Q25" s="15" t="s">
        <v>551</v>
      </c>
      <c r="R25" s="15" t="s">
        <v>549</v>
      </c>
      <c r="S25" s="15">
        <v>1966</v>
      </c>
      <c r="T25" s="15" t="s">
        <v>550</v>
      </c>
    </row>
    <row r="26" spans="1:20" x14ac:dyDescent="0.3">
      <c r="A26" s="22">
        <v>75</v>
      </c>
      <c r="B26" s="23">
        <v>5</v>
      </c>
      <c r="C26" s="23">
        <f t="shared" si="0"/>
        <v>5</v>
      </c>
      <c r="D26" s="23">
        <f t="shared" ref="D26:D55" si="7">C26+0</f>
        <v>5</v>
      </c>
      <c r="E26" s="23">
        <f>D26+1</f>
        <v>6</v>
      </c>
      <c r="F26" s="23">
        <f>E26+5</f>
        <v>11</v>
      </c>
      <c r="G26" s="23">
        <f>F26+8</f>
        <v>19</v>
      </c>
      <c r="H26" s="23">
        <f>G26+11</f>
        <v>30</v>
      </c>
      <c r="I26" s="23">
        <f>H26+12</f>
        <v>42</v>
      </c>
      <c r="J26" s="23">
        <f>I26+14</f>
        <v>56</v>
      </c>
      <c r="K26" s="23">
        <f>J26+10</f>
        <v>66</v>
      </c>
      <c r="L26" s="23">
        <f>K26+9</f>
        <v>75</v>
      </c>
      <c r="M26" s="23">
        <f t="shared" si="5"/>
        <v>75</v>
      </c>
      <c r="N26" s="23">
        <f t="shared" si="5"/>
        <v>75</v>
      </c>
      <c r="O26" s="15">
        <v>390</v>
      </c>
      <c r="P26" s="4">
        <v>1</v>
      </c>
      <c r="Q26" s="15" t="s">
        <v>552</v>
      </c>
      <c r="R26" s="15" t="s">
        <v>554</v>
      </c>
      <c r="S26" s="15">
        <v>2002</v>
      </c>
      <c r="T26" s="15" t="s">
        <v>555</v>
      </c>
    </row>
    <row r="27" spans="1:20" x14ac:dyDescent="0.3">
      <c r="A27" s="22">
        <v>75</v>
      </c>
      <c r="B27" s="23">
        <v>0</v>
      </c>
      <c r="C27" s="23">
        <f t="shared" si="0"/>
        <v>0</v>
      </c>
      <c r="D27" s="23">
        <f t="shared" si="7"/>
        <v>0</v>
      </c>
      <c r="E27" s="23">
        <f>D27+0</f>
        <v>0</v>
      </c>
      <c r="F27" s="23">
        <f>E27+0</f>
        <v>0</v>
      </c>
      <c r="G27" s="23">
        <f>F27+0</f>
        <v>0</v>
      </c>
      <c r="H27" s="23">
        <f>G27+0</f>
        <v>0</v>
      </c>
      <c r="I27" s="23">
        <f>H27+1</f>
        <v>1</v>
      </c>
      <c r="J27" s="23">
        <f>I27+3</f>
        <v>4</v>
      </c>
      <c r="K27" s="23">
        <f>J27+2</f>
        <v>6</v>
      </c>
      <c r="L27" s="23">
        <f>K27+6</f>
        <v>12</v>
      </c>
      <c r="M27" s="23">
        <f>L27+17</f>
        <v>29</v>
      </c>
      <c r="N27" s="23">
        <f>M27+46</f>
        <v>75</v>
      </c>
      <c r="O27" s="15">
        <v>420</v>
      </c>
      <c r="P27" s="4">
        <v>1</v>
      </c>
      <c r="Q27" s="15" t="s">
        <v>552</v>
      </c>
      <c r="R27" s="15" t="s">
        <v>554</v>
      </c>
      <c r="S27" s="15">
        <v>2002</v>
      </c>
      <c r="T27" s="15" t="s">
        <v>555</v>
      </c>
    </row>
    <row r="28" spans="1:20" x14ac:dyDescent="0.3">
      <c r="A28" s="22">
        <v>75</v>
      </c>
      <c r="B28" s="23">
        <v>6</v>
      </c>
      <c r="C28" s="23">
        <f t="shared" si="0"/>
        <v>6</v>
      </c>
      <c r="D28" s="23">
        <f t="shared" si="7"/>
        <v>6</v>
      </c>
      <c r="E28" s="23">
        <f>D28+2</f>
        <v>8</v>
      </c>
      <c r="F28" s="23">
        <f>E28+1</f>
        <v>9</v>
      </c>
      <c r="G28" s="23">
        <f>F28+5</f>
        <v>14</v>
      </c>
      <c r="H28" s="23">
        <f>G28+10</f>
        <v>24</v>
      </c>
      <c r="I28" s="23">
        <f>H28+20</f>
        <v>44</v>
      </c>
      <c r="J28" s="23">
        <f>I28+17</f>
        <v>61</v>
      </c>
      <c r="K28" s="23">
        <f>J28+8</f>
        <v>69</v>
      </c>
      <c r="L28" s="23">
        <f>K28+2</f>
        <v>71</v>
      </c>
      <c r="M28" s="23">
        <f>L28+2</f>
        <v>73</v>
      </c>
      <c r="N28" s="23">
        <f>M28+2</f>
        <v>75</v>
      </c>
      <c r="O28" s="15">
        <v>2008</v>
      </c>
      <c r="P28" s="4">
        <v>1</v>
      </c>
      <c r="Q28" s="15" t="s">
        <v>552</v>
      </c>
      <c r="R28" s="15" t="s">
        <v>554</v>
      </c>
      <c r="S28" s="15">
        <v>2002</v>
      </c>
      <c r="T28" s="15" t="s">
        <v>555</v>
      </c>
    </row>
    <row r="29" spans="1:20" x14ac:dyDescent="0.3">
      <c r="A29" s="22">
        <v>80</v>
      </c>
      <c r="B29" s="23">
        <v>14</v>
      </c>
      <c r="C29" s="23">
        <f t="shared" si="0"/>
        <v>14</v>
      </c>
      <c r="D29" s="23">
        <f t="shared" si="7"/>
        <v>14</v>
      </c>
      <c r="E29" s="23">
        <f>D29+7</f>
        <v>21</v>
      </c>
      <c r="F29" s="23">
        <f>E29+8</f>
        <v>29</v>
      </c>
      <c r="G29" s="23">
        <f>F29+11</f>
        <v>40</v>
      </c>
      <c r="H29" s="23">
        <f>G29+11</f>
        <v>51</v>
      </c>
      <c r="I29" s="23">
        <f>H29+13</f>
        <v>64</v>
      </c>
      <c r="J29" s="23">
        <f>I29+11</f>
        <v>75</v>
      </c>
      <c r="K29" s="23">
        <f>J29+2</f>
        <v>77</v>
      </c>
      <c r="L29" s="23">
        <f>K29+3</f>
        <v>80</v>
      </c>
      <c r="M29" s="23">
        <f>L29+0</f>
        <v>80</v>
      </c>
      <c r="N29" s="23">
        <f>M29+0</f>
        <v>80</v>
      </c>
      <c r="O29" s="15">
        <v>360</v>
      </c>
      <c r="P29" s="4">
        <v>1</v>
      </c>
      <c r="Q29" s="15" t="s">
        <v>553</v>
      </c>
      <c r="R29" s="15" t="s">
        <v>554</v>
      </c>
      <c r="S29" s="15">
        <v>2002</v>
      </c>
      <c r="T29" s="15" t="s">
        <v>555</v>
      </c>
    </row>
    <row r="30" spans="1:20" x14ac:dyDescent="0.3">
      <c r="A30" s="22">
        <v>80</v>
      </c>
      <c r="B30" s="23">
        <v>0</v>
      </c>
      <c r="C30" s="23">
        <f t="shared" si="0"/>
        <v>0</v>
      </c>
      <c r="D30" s="23">
        <f t="shared" si="7"/>
        <v>0</v>
      </c>
      <c r="E30" s="23">
        <f>D30+0</f>
        <v>0</v>
      </c>
      <c r="F30" s="23">
        <f>E30+0</f>
        <v>0</v>
      </c>
      <c r="G30" s="23">
        <f>F30+0</f>
        <v>0</v>
      </c>
      <c r="H30" s="23">
        <f>G30+1</f>
        <v>1</v>
      </c>
      <c r="I30" s="23">
        <f>H30+1</f>
        <v>2</v>
      </c>
      <c r="J30" s="23">
        <f>I30+2</f>
        <v>4</v>
      </c>
      <c r="K30" s="23">
        <f>J30+5</f>
        <v>9</v>
      </c>
      <c r="L30" s="23">
        <f>K30+12</f>
        <v>21</v>
      </c>
      <c r="M30" s="23">
        <f>L30+11</f>
        <v>32</v>
      </c>
      <c r="N30" s="23">
        <f>M30+48</f>
        <v>80</v>
      </c>
      <c r="O30" s="15">
        <v>390</v>
      </c>
      <c r="P30" s="4">
        <v>1</v>
      </c>
      <c r="Q30" s="15" t="s">
        <v>553</v>
      </c>
      <c r="R30" s="15" t="s">
        <v>554</v>
      </c>
      <c r="S30" s="15">
        <v>2002</v>
      </c>
      <c r="T30" s="15" t="s">
        <v>555</v>
      </c>
    </row>
    <row r="31" spans="1:20" x14ac:dyDescent="0.3">
      <c r="A31" s="22">
        <v>80</v>
      </c>
      <c r="B31" s="23">
        <v>6</v>
      </c>
      <c r="C31" s="23">
        <f t="shared" si="0"/>
        <v>6</v>
      </c>
      <c r="D31" s="23">
        <f t="shared" si="7"/>
        <v>6</v>
      </c>
      <c r="E31" s="23">
        <f>D31+3</f>
        <v>9</v>
      </c>
      <c r="F31" s="23">
        <f>E31+5</f>
        <v>14</v>
      </c>
      <c r="G31" s="23">
        <f>F31+9</f>
        <v>23</v>
      </c>
      <c r="H31" s="23">
        <f>G31+14</f>
        <v>37</v>
      </c>
      <c r="I31" s="23">
        <f>H31+12</f>
        <v>49</v>
      </c>
      <c r="J31" s="23">
        <f>I31+11</f>
        <v>60</v>
      </c>
      <c r="K31" s="23">
        <f>J31+14</f>
        <v>74</v>
      </c>
      <c r="L31" s="23">
        <f>K31+4</f>
        <v>78</v>
      </c>
      <c r="M31" s="23">
        <f>L31+2</f>
        <v>80</v>
      </c>
      <c r="N31" s="23">
        <f>M31+0</f>
        <v>80</v>
      </c>
      <c r="O31" s="15">
        <v>2008</v>
      </c>
      <c r="P31" s="4">
        <v>1</v>
      </c>
      <c r="Q31" s="15" t="s">
        <v>553</v>
      </c>
      <c r="R31" s="15" t="s">
        <v>554</v>
      </c>
      <c r="S31" s="15">
        <v>2002</v>
      </c>
      <c r="T31" s="15" t="s">
        <v>555</v>
      </c>
    </row>
    <row r="32" spans="1:20" x14ac:dyDescent="0.3">
      <c r="A32" s="22">
        <v>75</v>
      </c>
      <c r="B32" s="23">
        <v>2</v>
      </c>
      <c r="C32" s="23">
        <f t="shared" si="0"/>
        <v>2</v>
      </c>
      <c r="D32" s="23">
        <f t="shared" si="7"/>
        <v>2</v>
      </c>
      <c r="E32" s="23">
        <f>D32+2</f>
        <v>4</v>
      </c>
      <c r="F32" s="23">
        <f>E32+6</f>
        <v>10</v>
      </c>
      <c r="G32" s="23">
        <f>F32+4</f>
        <v>14</v>
      </c>
      <c r="H32" s="23">
        <f>G32+11</f>
        <v>25</v>
      </c>
      <c r="I32" s="23">
        <f>H32+11</f>
        <v>36</v>
      </c>
      <c r="J32" s="23">
        <f>I32+14</f>
        <v>50</v>
      </c>
      <c r="K32" s="23">
        <f>J32+15</f>
        <v>65</v>
      </c>
      <c r="L32" s="23">
        <f>K32+6</f>
        <v>71</v>
      </c>
      <c r="M32" s="23">
        <f>L32+4</f>
        <v>75</v>
      </c>
      <c r="N32" s="23">
        <f>M32+0</f>
        <v>75</v>
      </c>
      <c r="O32" s="15">
        <v>390</v>
      </c>
      <c r="P32" s="4">
        <v>2</v>
      </c>
      <c r="Q32" s="15" t="s">
        <v>552</v>
      </c>
      <c r="R32" s="15" t="s">
        <v>554</v>
      </c>
      <c r="S32" s="15">
        <v>2002</v>
      </c>
      <c r="T32" s="15" t="s">
        <v>555</v>
      </c>
    </row>
    <row r="33" spans="1:21" x14ac:dyDescent="0.3">
      <c r="A33" s="22">
        <v>75</v>
      </c>
      <c r="B33" s="23">
        <v>0</v>
      </c>
      <c r="C33" s="23">
        <f t="shared" si="0"/>
        <v>0</v>
      </c>
      <c r="D33" s="23">
        <f t="shared" si="7"/>
        <v>0</v>
      </c>
      <c r="E33" s="23">
        <f>D33+0</f>
        <v>0</v>
      </c>
      <c r="F33" s="23">
        <f>E33+0</f>
        <v>0</v>
      </c>
      <c r="G33" s="23">
        <f>F33+0</f>
        <v>0</v>
      </c>
      <c r="H33" s="23">
        <f>G33+0</f>
        <v>0</v>
      </c>
      <c r="I33" s="23">
        <f>H33+1</f>
        <v>1</v>
      </c>
      <c r="J33" s="23">
        <f>I33+0</f>
        <v>1</v>
      </c>
      <c r="K33" s="23">
        <f>J33+2</f>
        <v>3</v>
      </c>
      <c r="L33" s="23">
        <f>K33+6</f>
        <v>9</v>
      </c>
      <c r="M33" s="23">
        <f>L33+16</f>
        <v>25</v>
      </c>
      <c r="N33" s="23">
        <v>50</v>
      </c>
      <c r="O33" s="15">
        <v>420</v>
      </c>
      <c r="P33" s="4">
        <v>2</v>
      </c>
      <c r="Q33" s="15" t="s">
        <v>552</v>
      </c>
      <c r="R33" s="15" t="s">
        <v>554</v>
      </c>
      <c r="S33" s="15">
        <v>2002</v>
      </c>
      <c r="T33" s="15" t="s">
        <v>555</v>
      </c>
    </row>
    <row r="34" spans="1:21" x14ac:dyDescent="0.3">
      <c r="A34" s="22">
        <v>75</v>
      </c>
      <c r="B34" s="23">
        <v>2</v>
      </c>
      <c r="C34" s="23">
        <f t="shared" ref="C34:C65" si="8">B34+0</f>
        <v>2</v>
      </c>
      <c r="D34" s="23">
        <f t="shared" si="7"/>
        <v>2</v>
      </c>
      <c r="E34" s="23">
        <f>D34+0</f>
        <v>2</v>
      </c>
      <c r="F34" s="23">
        <f>E34+3</f>
        <v>5</v>
      </c>
      <c r="G34" s="23">
        <f>F34+8</f>
        <v>13</v>
      </c>
      <c r="H34" s="23">
        <f>G34+11</f>
        <v>24</v>
      </c>
      <c r="I34" s="23">
        <f>H34+11</f>
        <v>35</v>
      </c>
      <c r="J34" s="23">
        <f>I34+15</f>
        <v>50</v>
      </c>
      <c r="K34" s="23">
        <f>J34+16</f>
        <v>66</v>
      </c>
      <c r="L34" s="23">
        <f>K34+7</f>
        <v>73</v>
      </c>
      <c r="M34" s="23">
        <f>L34+2</f>
        <v>75</v>
      </c>
      <c r="N34" s="23">
        <f>M34+0</f>
        <v>75</v>
      </c>
      <c r="O34" s="15">
        <v>2008</v>
      </c>
      <c r="P34" s="4">
        <v>2</v>
      </c>
      <c r="Q34" s="15" t="s">
        <v>552</v>
      </c>
      <c r="R34" s="15" t="s">
        <v>554</v>
      </c>
      <c r="S34" s="15">
        <v>2002</v>
      </c>
      <c r="T34" s="15" t="s">
        <v>555</v>
      </c>
    </row>
    <row r="35" spans="1:21" x14ac:dyDescent="0.3">
      <c r="A35" s="22">
        <v>80</v>
      </c>
      <c r="B35" s="23">
        <v>6</v>
      </c>
      <c r="C35" s="23">
        <f t="shared" si="8"/>
        <v>6</v>
      </c>
      <c r="D35" s="23">
        <f t="shared" si="7"/>
        <v>6</v>
      </c>
      <c r="E35" s="23">
        <f>D35+6</f>
        <v>12</v>
      </c>
      <c r="F35" s="23">
        <f>E35+8</f>
        <v>20</v>
      </c>
      <c r="G35" s="23">
        <f>F35+9</f>
        <v>29</v>
      </c>
      <c r="H35" s="23">
        <f>G35+13</f>
        <v>42</v>
      </c>
      <c r="I35" s="23">
        <f>H35+14</f>
        <v>56</v>
      </c>
      <c r="J35" s="23">
        <f>I35+15</f>
        <v>71</v>
      </c>
      <c r="K35" s="23">
        <f>J35+5</f>
        <v>76</v>
      </c>
      <c r="L35" s="23">
        <f>K35+3</f>
        <v>79</v>
      </c>
      <c r="M35" s="23">
        <f>L35+1</f>
        <v>80</v>
      </c>
      <c r="N35" s="23">
        <f>M35+0</f>
        <v>80</v>
      </c>
      <c r="O35" s="15">
        <v>360</v>
      </c>
      <c r="P35" s="4">
        <v>2</v>
      </c>
      <c r="Q35" s="15" t="s">
        <v>553</v>
      </c>
      <c r="R35" s="15" t="s">
        <v>554</v>
      </c>
      <c r="S35" s="15">
        <v>2002</v>
      </c>
      <c r="T35" s="15" t="s">
        <v>555</v>
      </c>
    </row>
    <row r="36" spans="1:21" x14ac:dyDescent="0.3">
      <c r="A36" s="22">
        <v>80</v>
      </c>
      <c r="B36" s="23">
        <v>0</v>
      </c>
      <c r="C36" s="23">
        <f t="shared" si="8"/>
        <v>0</v>
      </c>
      <c r="D36" s="23">
        <f t="shared" si="7"/>
        <v>0</v>
      </c>
      <c r="E36" s="23">
        <f>D36+0</f>
        <v>0</v>
      </c>
      <c r="F36" s="23">
        <f>E36+0</f>
        <v>0</v>
      </c>
      <c r="G36" s="23">
        <f>F36+0</f>
        <v>0</v>
      </c>
      <c r="H36" s="23">
        <f>G36+0</f>
        <v>0</v>
      </c>
      <c r="I36" s="23">
        <f>H36+0</f>
        <v>0</v>
      </c>
      <c r="J36" s="23">
        <f>I36+1</f>
        <v>1</v>
      </c>
      <c r="K36" s="23">
        <f>J36+1</f>
        <v>2</v>
      </c>
      <c r="L36" s="23">
        <f>K36+10</f>
        <v>12</v>
      </c>
      <c r="M36" s="23">
        <f>L36+13</f>
        <v>25</v>
      </c>
      <c r="N36" s="23">
        <f>M36+55</f>
        <v>80</v>
      </c>
      <c r="O36" s="15">
        <v>390</v>
      </c>
      <c r="P36" s="4">
        <v>2</v>
      </c>
      <c r="Q36" s="15" t="s">
        <v>553</v>
      </c>
      <c r="R36" s="15" t="s">
        <v>554</v>
      </c>
      <c r="S36" s="15">
        <v>2002</v>
      </c>
      <c r="T36" s="15" t="s">
        <v>555</v>
      </c>
    </row>
    <row r="37" spans="1:21" x14ac:dyDescent="0.3">
      <c r="A37" s="22">
        <v>80</v>
      </c>
      <c r="B37" s="23">
        <v>2</v>
      </c>
      <c r="C37" s="23">
        <f t="shared" si="8"/>
        <v>2</v>
      </c>
      <c r="D37" s="23">
        <f t="shared" si="7"/>
        <v>2</v>
      </c>
      <c r="E37" s="23">
        <f>D37+1</f>
        <v>3</v>
      </c>
      <c r="F37" s="23">
        <f>E37+7</f>
        <v>10</v>
      </c>
      <c r="G37" s="23">
        <f>F37+6</f>
        <v>16</v>
      </c>
      <c r="H37" s="23">
        <f>G37+8</f>
        <v>24</v>
      </c>
      <c r="I37" s="23">
        <f>H37+10</f>
        <v>34</v>
      </c>
      <c r="J37" s="23">
        <f>I37+20</f>
        <v>54</v>
      </c>
      <c r="K37" s="23">
        <f>J37+13</f>
        <v>67</v>
      </c>
      <c r="L37" s="23">
        <f>K37+8</f>
        <v>75</v>
      </c>
      <c r="M37" s="23">
        <f>L37+3</f>
        <v>78</v>
      </c>
      <c r="N37" s="23">
        <f>M37+2</f>
        <v>80</v>
      </c>
      <c r="O37" s="15">
        <v>2008</v>
      </c>
      <c r="P37" s="4">
        <v>2</v>
      </c>
      <c r="Q37" s="15" t="s">
        <v>553</v>
      </c>
      <c r="R37" s="15" t="s">
        <v>554</v>
      </c>
      <c r="S37" s="15">
        <v>2002</v>
      </c>
      <c r="T37" s="15" t="s">
        <v>555</v>
      </c>
    </row>
    <row r="38" spans="1:21" x14ac:dyDescent="0.3">
      <c r="A38" s="22">
        <v>75</v>
      </c>
      <c r="B38" s="23">
        <v>1</v>
      </c>
      <c r="C38" s="23">
        <f t="shared" si="8"/>
        <v>1</v>
      </c>
      <c r="D38" s="23">
        <f t="shared" si="7"/>
        <v>1</v>
      </c>
      <c r="E38" s="23">
        <f>D38+5</f>
        <v>6</v>
      </c>
      <c r="F38" s="23">
        <f>E38+2</f>
        <v>8</v>
      </c>
      <c r="G38" s="23">
        <f>F38+2</f>
        <v>10</v>
      </c>
      <c r="H38" s="23">
        <f>G38+9</f>
        <v>19</v>
      </c>
      <c r="I38" s="23">
        <f>H38+12</f>
        <v>31</v>
      </c>
      <c r="J38" s="23">
        <f>I38+14</f>
        <v>45</v>
      </c>
      <c r="K38" s="23">
        <f>J38+10</f>
        <v>55</v>
      </c>
      <c r="L38" s="23">
        <f>K38+13</f>
        <v>68</v>
      </c>
      <c r="M38" s="23">
        <f>L38+6</f>
        <v>74</v>
      </c>
      <c r="N38" s="23">
        <f>M38+1</f>
        <v>75</v>
      </c>
      <c r="O38" s="15">
        <v>390</v>
      </c>
      <c r="P38" s="4">
        <v>3</v>
      </c>
      <c r="Q38" s="15" t="s">
        <v>552</v>
      </c>
      <c r="R38" s="15" t="s">
        <v>554</v>
      </c>
      <c r="S38" s="15">
        <v>2002</v>
      </c>
      <c r="T38" s="15" t="s">
        <v>555</v>
      </c>
    </row>
    <row r="39" spans="1:21" x14ac:dyDescent="0.3">
      <c r="A39" s="22">
        <v>75</v>
      </c>
      <c r="B39" s="23">
        <v>0</v>
      </c>
      <c r="C39" s="23">
        <f t="shared" si="8"/>
        <v>0</v>
      </c>
      <c r="D39" s="23">
        <f t="shared" si="7"/>
        <v>0</v>
      </c>
      <c r="E39" s="23">
        <f t="shared" ref="E39:K39" si="9">D39+0</f>
        <v>0</v>
      </c>
      <c r="F39" s="23">
        <f t="shared" si="9"/>
        <v>0</v>
      </c>
      <c r="G39" s="23">
        <f t="shared" si="9"/>
        <v>0</v>
      </c>
      <c r="H39" s="23">
        <f t="shared" si="9"/>
        <v>0</v>
      </c>
      <c r="I39" s="23">
        <f t="shared" si="9"/>
        <v>0</v>
      </c>
      <c r="J39" s="23">
        <f t="shared" si="9"/>
        <v>0</v>
      </c>
      <c r="K39" s="23">
        <f t="shared" si="9"/>
        <v>0</v>
      </c>
      <c r="L39" s="23">
        <f>K39+5</f>
        <v>5</v>
      </c>
      <c r="M39" s="23">
        <f>L39+9</f>
        <v>14</v>
      </c>
      <c r="N39" s="23">
        <f>M39+61</f>
        <v>75</v>
      </c>
      <c r="O39" s="15">
        <v>420</v>
      </c>
      <c r="P39" s="4">
        <v>3</v>
      </c>
      <c r="Q39" s="15" t="s">
        <v>552</v>
      </c>
      <c r="R39" s="15" t="s">
        <v>554</v>
      </c>
      <c r="S39" s="15">
        <v>2002</v>
      </c>
      <c r="T39" s="15" t="s">
        <v>555</v>
      </c>
    </row>
    <row r="40" spans="1:21" x14ac:dyDescent="0.3">
      <c r="A40" s="22">
        <v>75</v>
      </c>
      <c r="B40" s="23">
        <v>0</v>
      </c>
      <c r="C40" s="23">
        <f t="shared" si="8"/>
        <v>0</v>
      </c>
      <c r="D40" s="23">
        <f t="shared" si="7"/>
        <v>0</v>
      </c>
      <c r="E40" s="23">
        <f>D40+0</f>
        <v>0</v>
      </c>
      <c r="F40" s="23">
        <f>E40+1</f>
        <v>1</v>
      </c>
      <c r="G40" s="23">
        <f>F40+5</f>
        <v>6</v>
      </c>
      <c r="H40" s="23">
        <f>G40+6</f>
        <v>12</v>
      </c>
      <c r="I40" s="23">
        <f>H40+16</f>
        <v>28</v>
      </c>
      <c r="J40" s="23">
        <f>I40+15</f>
        <v>43</v>
      </c>
      <c r="K40" s="23">
        <f>J40+17</f>
        <v>60</v>
      </c>
      <c r="L40" s="23">
        <f>K40+10</f>
        <v>70</v>
      </c>
      <c r="M40" s="23">
        <f>L40+3</f>
        <v>73</v>
      </c>
      <c r="N40" s="23">
        <f>M40+2</f>
        <v>75</v>
      </c>
      <c r="O40" s="15">
        <v>2008</v>
      </c>
      <c r="P40" s="4">
        <v>3</v>
      </c>
      <c r="Q40" s="15" t="s">
        <v>552</v>
      </c>
      <c r="R40" s="15" t="s">
        <v>554</v>
      </c>
      <c r="S40" s="15">
        <v>2002</v>
      </c>
      <c r="T40" s="15" t="s">
        <v>555</v>
      </c>
    </row>
    <row r="41" spans="1:21" x14ac:dyDescent="0.3">
      <c r="A41" s="22">
        <v>80</v>
      </c>
      <c r="B41" s="23">
        <v>8</v>
      </c>
      <c r="C41" s="23">
        <f t="shared" si="8"/>
        <v>8</v>
      </c>
      <c r="D41" s="23">
        <f t="shared" si="7"/>
        <v>8</v>
      </c>
      <c r="E41" s="23">
        <f>D41+6</f>
        <v>14</v>
      </c>
      <c r="F41" s="23">
        <f>E41+10</f>
        <v>24</v>
      </c>
      <c r="G41" s="23">
        <f>F41+11</f>
        <v>35</v>
      </c>
      <c r="H41" s="23">
        <f>G41+12</f>
        <v>47</v>
      </c>
      <c r="I41" s="23">
        <f>H41+14</f>
        <v>61</v>
      </c>
      <c r="J41" s="23">
        <f>I41+11</f>
        <v>72</v>
      </c>
      <c r="K41" s="23">
        <f>J41+6</f>
        <v>78</v>
      </c>
      <c r="L41" s="23">
        <f>K41+1</f>
        <v>79</v>
      </c>
      <c r="M41" s="23">
        <f>L41+0</f>
        <v>79</v>
      </c>
      <c r="N41" s="23">
        <f>M41+1</f>
        <v>80</v>
      </c>
      <c r="O41" s="15">
        <v>360</v>
      </c>
      <c r="P41" s="4">
        <v>3</v>
      </c>
      <c r="Q41" s="15" t="s">
        <v>553</v>
      </c>
      <c r="R41" s="15" t="s">
        <v>554</v>
      </c>
      <c r="S41" s="15">
        <v>2002</v>
      </c>
      <c r="T41" s="15" t="s">
        <v>555</v>
      </c>
    </row>
    <row r="42" spans="1:21" x14ac:dyDescent="0.3">
      <c r="A42" s="22">
        <v>80</v>
      </c>
      <c r="B42" s="23">
        <v>0</v>
      </c>
      <c r="C42" s="23">
        <f t="shared" si="8"/>
        <v>0</v>
      </c>
      <c r="D42" s="23">
        <f t="shared" si="7"/>
        <v>0</v>
      </c>
      <c r="E42" s="23">
        <f>D42+0</f>
        <v>0</v>
      </c>
      <c r="F42" s="23">
        <f>E42+0</f>
        <v>0</v>
      </c>
      <c r="G42" s="23">
        <f>F42+0</f>
        <v>0</v>
      </c>
      <c r="H42" s="23">
        <f>G42+0</f>
        <v>0</v>
      </c>
      <c r="I42" s="23">
        <f>H42+0</f>
        <v>0</v>
      </c>
      <c r="J42" s="23">
        <f>I42+2</f>
        <v>2</v>
      </c>
      <c r="K42" s="23">
        <f>J42+2</f>
        <v>4</v>
      </c>
      <c r="L42" s="23">
        <f>K42+4</f>
        <v>8</v>
      </c>
      <c r="M42" s="23">
        <f>L42+10</f>
        <v>18</v>
      </c>
      <c r="N42" s="23">
        <f>M42+62</f>
        <v>80</v>
      </c>
      <c r="O42" s="15">
        <v>390</v>
      </c>
      <c r="P42" s="4">
        <v>3</v>
      </c>
      <c r="Q42" s="15" t="s">
        <v>553</v>
      </c>
      <c r="R42" s="15" t="s">
        <v>554</v>
      </c>
      <c r="S42" s="15">
        <v>2002</v>
      </c>
      <c r="T42" s="15" t="s">
        <v>555</v>
      </c>
    </row>
    <row r="43" spans="1:21" x14ac:dyDescent="0.3">
      <c r="A43" s="22">
        <v>80</v>
      </c>
      <c r="B43" s="23">
        <v>5</v>
      </c>
      <c r="C43" s="23">
        <f t="shared" si="8"/>
        <v>5</v>
      </c>
      <c r="D43" s="23">
        <f t="shared" si="7"/>
        <v>5</v>
      </c>
      <c r="E43" s="23">
        <f>D43+4</f>
        <v>9</v>
      </c>
      <c r="F43" s="23">
        <f>E43+6</f>
        <v>15</v>
      </c>
      <c r="G43" s="23">
        <f>F43+8</f>
        <v>23</v>
      </c>
      <c r="H43" s="23">
        <f>G43+9</f>
        <v>32</v>
      </c>
      <c r="I43" s="23">
        <f>H43+10</f>
        <v>42</v>
      </c>
      <c r="J43" s="23">
        <f>I43+14</f>
        <v>56</v>
      </c>
      <c r="K43" s="23">
        <f>J43+11</f>
        <v>67</v>
      </c>
      <c r="L43" s="23">
        <f>K43+7</f>
        <v>74</v>
      </c>
      <c r="M43" s="23">
        <f>L43+3</f>
        <v>77</v>
      </c>
      <c r="N43" s="23">
        <f>M43+3</f>
        <v>80</v>
      </c>
      <c r="O43" s="15">
        <v>2008</v>
      </c>
      <c r="P43" s="4">
        <v>3</v>
      </c>
      <c r="Q43" s="15" t="s">
        <v>553</v>
      </c>
      <c r="R43" s="15" t="s">
        <v>554</v>
      </c>
      <c r="S43" s="15">
        <v>2002</v>
      </c>
      <c r="T43" s="15" t="s">
        <v>555</v>
      </c>
    </row>
    <row r="44" spans="1:21" x14ac:dyDescent="0.3">
      <c r="A44" s="22">
        <v>107</v>
      </c>
      <c r="B44" s="23">
        <v>27</v>
      </c>
      <c r="C44" s="23">
        <f t="shared" si="8"/>
        <v>27</v>
      </c>
      <c r="D44" s="23">
        <f t="shared" si="7"/>
        <v>27</v>
      </c>
      <c r="E44" s="23">
        <f>D44+43</f>
        <v>70</v>
      </c>
      <c r="F44" s="23">
        <f t="shared" ref="F44:F55" si="10">E44+0</f>
        <v>70</v>
      </c>
      <c r="G44" s="23">
        <f>F44+25</f>
        <v>95</v>
      </c>
      <c r="H44" s="23">
        <f t="shared" ref="H44:H55" si="11">G44+0</f>
        <v>95</v>
      </c>
      <c r="I44" s="23">
        <f>H44+7</f>
        <v>102</v>
      </c>
      <c r="J44" s="23">
        <f t="shared" ref="J44:J55" si="12">I44+0</f>
        <v>102</v>
      </c>
      <c r="K44" s="23">
        <f>J44+5</f>
        <v>107</v>
      </c>
      <c r="L44" s="23">
        <f t="shared" ref="L44:N55" si="13">K44+0</f>
        <v>107</v>
      </c>
      <c r="M44" s="23">
        <f t="shared" si="13"/>
        <v>107</v>
      </c>
      <c r="N44" s="23">
        <f t="shared" si="13"/>
        <v>107</v>
      </c>
      <c r="O44" s="15">
        <v>0</v>
      </c>
      <c r="P44" s="4">
        <v>1</v>
      </c>
      <c r="Q44" s="15" t="s">
        <v>142</v>
      </c>
      <c r="R44" s="15" t="s">
        <v>139</v>
      </c>
      <c r="S44" s="15">
        <v>1986</v>
      </c>
      <c r="T44" s="15" t="s">
        <v>211</v>
      </c>
    </row>
    <row r="45" spans="1:21" x14ac:dyDescent="0.3">
      <c r="A45" s="22">
        <v>107</v>
      </c>
      <c r="B45" s="23">
        <v>38</v>
      </c>
      <c r="C45" s="23">
        <f t="shared" si="8"/>
        <v>38</v>
      </c>
      <c r="D45" s="23">
        <f t="shared" si="7"/>
        <v>38</v>
      </c>
      <c r="E45" s="23">
        <f>D45+46</f>
        <v>84</v>
      </c>
      <c r="F45" s="23">
        <f t="shared" si="10"/>
        <v>84</v>
      </c>
      <c r="G45" s="23">
        <f>F45+14</f>
        <v>98</v>
      </c>
      <c r="H45" s="23">
        <f t="shared" si="11"/>
        <v>98</v>
      </c>
      <c r="I45" s="23">
        <f>H45+7</f>
        <v>105</v>
      </c>
      <c r="J45" s="23">
        <f t="shared" si="12"/>
        <v>105</v>
      </c>
      <c r="K45" s="23">
        <f>J45+2</f>
        <v>107</v>
      </c>
      <c r="L45" s="23">
        <f t="shared" si="13"/>
        <v>107</v>
      </c>
      <c r="M45" s="23">
        <f t="shared" si="13"/>
        <v>107</v>
      </c>
      <c r="N45" s="23">
        <f t="shared" si="13"/>
        <v>107</v>
      </c>
      <c r="O45" s="15">
        <v>28</v>
      </c>
      <c r="P45" s="4">
        <v>1</v>
      </c>
      <c r="Q45" s="15" t="s">
        <v>142</v>
      </c>
      <c r="R45" s="15" t="s">
        <v>139</v>
      </c>
      <c r="S45" s="15">
        <v>1986</v>
      </c>
      <c r="T45" s="15" t="s">
        <v>211</v>
      </c>
      <c r="U45" s="15" t="s">
        <v>191</v>
      </c>
    </row>
    <row r="46" spans="1:21" x14ac:dyDescent="0.3">
      <c r="A46" s="22">
        <v>107</v>
      </c>
      <c r="B46" s="23">
        <v>57</v>
      </c>
      <c r="C46" s="23">
        <f t="shared" si="8"/>
        <v>57</v>
      </c>
      <c r="D46" s="23">
        <f t="shared" si="7"/>
        <v>57</v>
      </c>
      <c r="E46" s="23">
        <f>D46+31</f>
        <v>88</v>
      </c>
      <c r="F46" s="23">
        <f t="shared" si="10"/>
        <v>88</v>
      </c>
      <c r="G46" s="23">
        <f>F46+12</f>
        <v>100</v>
      </c>
      <c r="H46" s="23">
        <f t="shared" si="11"/>
        <v>100</v>
      </c>
      <c r="I46" s="23">
        <f>H46+7</f>
        <v>107</v>
      </c>
      <c r="J46" s="23">
        <f t="shared" si="12"/>
        <v>107</v>
      </c>
      <c r="K46" s="23">
        <f>J46+0</f>
        <v>107</v>
      </c>
      <c r="L46" s="23">
        <f t="shared" si="13"/>
        <v>107</v>
      </c>
      <c r="M46" s="23">
        <f t="shared" si="13"/>
        <v>107</v>
      </c>
      <c r="N46" s="23">
        <f t="shared" si="13"/>
        <v>107</v>
      </c>
      <c r="O46" s="15">
        <v>60</v>
      </c>
      <c r="P46" s="4">
        <v>1</v>
      </c>
      <c r="Q46" s="15" t="s">
        <v>142</v>
      </c>
      <c r="R46" s="15" t="s">
        <v>139</v>
      </c>
      <c r="S46" s="15">
        <v>1986</v>
      </c>
      <c r="T46" s="15" t="s">
        <v>211</v>
      </c>
      <c r="U46" s="15" t="s">
        <v>191</v>
      </c>
    </row>
    <row r="47" spans="1:21" x14ac:dyDescent="0.3">
      <c r="A47" s="22">
        <v>107</v>
      </c>
      <c r="B47" s="23">
        <v>23</v>
      </c>
      <c r="C47" s="23">
        <f t="shared" si="8"/>
        <v>23</v>
      </c>
      <c r="D47" s="23">
        <f t="shared" si="7"/>
        <v>23</v>
      </c>
      <c r="E47" s="23">
        <f>D47+56</f>
        <v>79</v>
      </c>
      <c r="F47" s="23">
        <f t="shared" si="10"/>
        <v>79</v>
      </c>
      <c r="G47" s="23">
        <f>F47+21</f>
        <v>100</v>
      </c>
      <c r="H47" s="23">
        <f t="shared" si="11"/>
        <v>100</v>
      </c>
      <c r="I47" s="23">
        <f>H47+4</f>
        <v>104</v>
      </c>
      <c r="J47" s="23">
        <f t="shared" si="12"/>
        <v>104</v>
      </c>
      <c r="K47" s="23">
        <f>J47+3</f>
        <v>107</v>
      </c>
      <c r="L47" s="23">
        <f t="shared" si="13"/>
        <v>107</v>
      </c>
      <c r="M47" s="23">
        <f t="shared" si="13"/>
        <v>107</v>
      </c>
      <c r="N47" s="23">
        <f t="shared" si="13"/>
        <v>107</v>
      </c>
      <c r="O47" s="15">
        <v>0</v>
      </c>
      <c r="P47" s="4">
        <v>1</v>
      </c>
      <c r="Q47" s="15" t="s">
        <v>138</v>
      </c>
      <c r="R47" s="15" t="s">
        <v>139</v>
      </c>
      <c r="S47" s="15">
        <v>1986</v>
      </c>
      <c r="T47" s="15" t="s">
        <v>211</v>
      </c>
    </row>
    <row r="48" spans="1:21" x14ac:dyDescent="0.3">
      <c r="A48" s="22">
        <v>107</v>
      </c>
      <c r="B48" s="23">
        <v>14</v>
      </c>
      <c r="C48" s="23">
        <f t="shared" si="8"/>
        <v>14</v>
      </c>
      <c r="D48" s="23">
        <f t="shared" si="7"/>
        <v>14</v>
      </c>
      <c r="E48" s="23">
        <f>D48+26</f>
        <v>40</v>
      </c>
      <c r="F48" s="23">
        <f t="shared" si="10"/>
        <v>40</v>
      </c>
      <c r="G48" s="23">
        <f>F48+26</f>
        <v>66</v>
      </c>
      <c r="H48" s="23">
        <f t="shared" si="11"/>
        <v>66</v>
      </c>
      <c r="I48" s="23">
        <f>H48+30</f>
        <v>96</v>
      </c>
      <c r="J48" s="23">
        <f t="shared" si="12"/>
        <v>96</v>
      </c>
      <c r="K48" s="23">
        <f>J48+11</f>
        <v>107</v>
      </c>
      <c r="L48" s="23">
        <f t="shared" si="13"/>
        <v>107</v>
      </c>
      <c r="M48" s="23">
        <f t="shared" si="13"/>
        <v>107</v>
      </c>
      <c r="N48" s="23">
        <f t="shared" si="13"/>
        <v>107</v>
      </c>
      <c r="O48" s="15">
        <v>0</v>
      </c>
      <c r="P48" s="4">
        <v>2</v>
      </c>
      <c r="Q48" s="15" t="s">
        <v>142</v>
      </c>
      <c r="R48" s="15" t="s">
        <v>139</v>
      </c>
      <c r="S48" s="15">
        <v>1986</v>
      </c>
      <c r="T48" s="15" t="s">
        <v>211</v>
      </c>
    </row>
    <row r="49" spans="1:21" x14ac:dyDescent="0.3">
      <c r="A49" s="22">
        <v>107</v>
      </c>
      <c r="B49" s="23">
        <v>24</v>
      </c>
      <c r="C49" s="23">
        <f t="shared" si="8"/>
        <v>24</v>
      </c>
      <c r="D49" s="23">
        <f t="shared" si="7"/>
        <v>24</v>
      </c>
      <c r="E49" s="23">
        <f>D49+35</f>
        <v>59</v>
      </c>
      <c r="F49" s="23">
        <f t="shared" si="10"/>
        <v>59</v>
      </c>
      <c r="G49" s="23">
        <f>F49+21</f>
        <v>80</v>
      </c>
      <c r="H49" s="23">
        <f t="shared" si="11"/>
        <v>80</v>
      </c>
      <c r="I49" s="23">
        <f>H49+21</f>
        <v>101</v>
      </c>
      <c r="J49" s="23">
        <f t="shared" si="12"/>
        <v>101</v>
      </c>
      <c r="K49" s="23">
        <f>J49+6</f>
        <v>107</v>
      </c>
      <c r="L49" s="23">
        <f t="shared" si="13"/>
        <v>107</v>
      </c>
      <c r="M49" s="23">
        <f t="shared" si="13"/>
        <v>107</v>
      </c>
      <c r="N49" s="23">
        <f t="shared" si="13"/>
        <v>107</v>
      </c>
      <c r="O49" s="15">
        <v>28</v>
      </c>
      <c r="P49" s="4">
        <v>2</v>
      </c>
      <c r="Q49" s="15" t="s">
        <v>142</v>
      </c>
      <c r="R49" s="15" t="s">
        <v>139</v>
      </c>
      <c r="S49" s="15">
        <v>1986</v>
      </c>
      <c r="T49" s="15" t="s">
        <v>211</v>
      </c>
      <c r="U49" s="15" t="s">
        <v>191</v>
      </c>
    </row>
    <row r="50" spans="1:21" x14ac:dyDescent="0.3">
      <c r="A50" s="22">
        <v>107</v>
      </c>
      <c r="B50" s="23">
        <v>36</v>
      </c>
      <c r="C50" s="23">
        <f t="shared" si="8"/>
        <v>36</v>
      </c>
      <c r="D50" s="23">
        <f t="shared" si="7"/>
        <v>36</v>
      </c>
      <c r="E50" s="23">
        <f>D50+27</f>
        <v>63</v>
      </c>
      <c r="F50" s="23">
        <f t="shared" si="10"/>
        <v>63</v>
      </c>
      <c r="G50" s="23">
        <f>F50+29</f>
        <v>92</v>
      </c>
      <c r="H50" s="23">
        <f t="shared" si="11"/>
        <v>92</v>
      </c>
      <c r="I50" s="23">
        <f>H50+12</f>
        <v>104</v>
      </c>
      <c r="J50" s="23">
        <f t="shared" si="12"/>
        <v>104</v>
      </c>
      <c r="K50" s="23">
        <f>J50+3</f>
        <v>107</v>
      </c>
      <c r="L50" s="23">
        <f t="shared" si="13"/>
        <v>107</v>
      </c>
      <c r="M50" s="23">
        <f t="shared" si="13"/>
        <v>107</v>
      </c>
      <c r="N50" s="23">
        <f t="shared" si="13"/>
        <v>107</v>
      </c>
      <c r="O50" s="15">
        <v>60</v>
      </c>
      <c r="P50" s="4">
        <v>2</v>
      </c>
      <c r="Q50" s="15" t="s">
        <v>142</v>
      </c>
      <c r="R50" s="15" t="s">
        <v>139</v>
      </c>
      <c r="S50" s="15">
        <v>1986</v>
      </c>
      <c r="T50" s="15" t="s">
        <v>211</v>
      </c>
      <c r="U50" s="81" t="s">
        <v>191</v>
      </c>
    </row>
    <row r="51" spans="1:21" x14ac:dyDescent="0.3">
      <c r="A51" s="22">
        <v>107</v>
      </c>
      <c r="B51" s="23">
        <v>8</v>
      </c>
      <c r="C51" s="23">
        <f t="shared" si="8"/>
        <v>8</v>
      </c>
      <c r="D51" s="23">
        <f t="shared" si="7"/>
        <v>8</v>
      </c>
      <c r="E51" s="23">
        <f>D51+23</f>
        <v>31</v>
      </c>
      <c r="F51" s="23">
        <f t="shared" si="10"/>
        <v>31</v>
      </c>
      <c r="G51" s="23">
        <f>F51+30</f>
        <v>61</v>
      </c>
      <c r="H51" s="23">
        <f t="shared" si="11"/>
        <v>61</v>
      </c>
      <c r="I51" s="23">
        <f>H51+32</f>
        <v>93</v>
      </c>
      <c r="J51" s="23">
        <f t="shared" si="12"/>
        <v>93</v>
      </c>
      <c r="K51" s="23">
        <f>J51+14</f>
        <v>107</v>
      </c>
      <c r="L51" s="23">
        <f t="shared" si="13"/>
        <v>107</v>
      </c>
      <c r="M51" s="23">
        <f t="shared" si="13"/>
        <v>107</v>
      </c>
      <c r="N51" s="23">
        <f t="shared" si="13"/>
        <v>107</v>
      </c>
      <c r="O51" s="15">
        <v>0</v>
      </c>
      <c r="P51" s="4">
        <v>2</v>
      </c>
      <c r="Q51" s="15" t="s">
        <v>138</v>
      </c>
      <c r="R51" s="15" t="s">
        <v>139</v>
      </c>
      <c r="S51" s="15">
        <v>1986</v>
      </c>
      <c r="T51" s="15" t="s">
        <v>211</v>
      </c>
      <c r="U51" s="81"/>
    </row>
    <row r="52" spans="1:21" x14ac:dyDescent="0.3">
      <c r="A52" s="22">
        <v>107</v>
      </c>
      <c r="B52" s="23">
        <v>23</v>
      </c>
      <c r="C52" s="23">
        <f t="shared" si="8"/>
        <v>23</v>
      </c>
      <c r="D52" s="23">
        <f t="shared" si="7"/>
        <v>23</v>
      </c>
      <c r="E52" s="23">
        <f>D52+26</f>
        <v>49</v>
      </c>
      <c r="F52" s="23">
        <f t="shared" si="10"/>
        <v>49</v>
      </c>
      <c r="G52" s="23">
        <f>F52+31</f>
        <v>80</v>
      </c>
      <c r="H52" s="23">
        <f t="shared" si="11"/>
        <v>80</v>
      </c>
      <c r="I52" s="23">
        <f>H52+22</f>
        <v>102</v>
      </c>
      <c r="J52" s="23">
        <f t="shared" si="12"/>
        <v>102</v>
      </c>
      <c r="K52" s="23">
        <f>J52+5</f>
        <v>107</v>
      </c>
      <c r="L52" s="23">
        <f t="shared" si="13"/>
        <v>107</v>
      </c>
      <c r="M52" s="23">
        <f t="shared" si="13"/>
        <v>107</v>
      </c>
      <c r="N52" s="23">
        <f t="shared" si="13"/>
        <v>107</v>
      </c>
      <c r="O52" s="15">
        <v>0</v>
      </c>
      <c r="P52" s="4">
        <v>3</v>
      </c>
      <c r="Q52" s="15" t="s">
        <v>142</v>
      </c>
      <c r="R52" s="15" t="s">
        <v>139</v>
      </c>
      <c r="S52" s="15">
        <v>1986</v>
      </c>
      <c r="T52" s="15" t="s">
        <v>211</v>
      </c>
      <c r="U52" s="81"/>
    </row>
    <row r="53" spans="1:21" x14ac:dyDescent="0.3">
      <c r="A53" s="22">
        <v>107</v>
      </c>
      <c r="B53" s="23">
        <v>30</v>
      </c>
      <c r="C53" s="23">
        <f t="shared" si="8"/>
        <v>30</v>
      </c>
      <c r="D53" s="23">
        <f t="shared" si="7"/>
        <v>30</v>
      </c>
      <c r="E53" s="23">
        <f>D53+38</f>
        <v>68</v>
      </c>
      <c r="F53" s="23">
        <f t="shared" si="10"/>
        <v>68</v>
      </c>
      <c r="G53" s="23">
        <f>F53+27</f>
        <v>95</v>
      </c>
      <c r="H53" s="23">
        <f t="shared" si="11"/>
        <v>95</v>
      </c>
      <c r="I53" s="23">
        <f>H53+8</f>
        <v>103</v>
      </c>
      <c r="J53" s="23">
        <f t="shared" si="12"/>
        <v>103</v>
      </c>
      <c r="K53" s="23">
        <f>J53+4</f>
        <v>107</v>
      </c>
      <c r="L53" s="23">
        <f t="shared" si="13"/>
        <v>107</v>
      </c>
      <c r="M53" s="23">
        <f t="shared" si="13"/>
        <v>107</v>
      </c>
      <c r="N53" s="23">
        <f t="shared" si="13"/>
        <v>107</v>
      </c>
      <c r="O53" s="15">
        <v>28</v>
      </c>
      <c r="P53" s="4">
        <v>3</v>
      </c>
      <c r="Q53" s="15" t="s">
        <v>142</v>
      </c>
      <c r="R53" s="15" t="s">
        <v>139</v>
      </c>
      <c r="S53" s="15">
        <v>1986</v>
      </c>
      <c r="T53" s="15" t="s">
        <v>211</v>
      </c>
      <c r="U53" s="81" t="s">
        <v>191</v>
      </c>
    </row>
    <row r="54" spans="1:21" x14ac:dyDescent="0.3">
      <c r="A54" s="22">
        <v>107</v>
      </c>
      <c r="B54" s="23">
        <v>43</v>
      </c>
      <c r="C54" s="23">
        <f t="shared" si="8"/>
        <v>43</v>
      </c>
      <c r="D54" s="23">
        <f t="shared" si="7"/>
        <v>43</v>
      </c>
      <c r="E54" s="23">
        <f>D54+43</f>
        <v>86</v>
      </c>
      <c r="F54" s="23">
        <f t="shared" si="10"/>
        <v>86</v>
      </c>
      <c r="G54" s="23">
        <f>F54+9</f>
        <v>95</v>
      </c>
      <c r="H54" s="23">
        <f t="shared" si="11"/>
        <v>95</v>
      </c>
      <c r="I54" s="23">
        <f>H54+8</f>
        <v>103</v>
      </c>
      <c r="J54" s="23">
        <f t="shared" si="12"/>
        <v>103</v>
      </c>
      <c r="K54" s="23">
        <f>J54+4</f>
        <v>107</v>
      </c>
      <c r="L54" s="23">
        <f t="shared" si="13"/>
        <v>107</v>
      </c>
      <c r="M54" s="23">
        <f t="shared" si="13"/>
        <v>107</v>
      </c>
      <c r="N54" s="23">
        <f t="shared" si="13"/>
        <v>107</v>
      </c>
      <c r="O54" s="15">
        <v>60</v>
      </c>
      <c r="P54" s="4">
        <v>3</v>
      </c>
      <c r="Q54" s="15" t="s">
        <v>142</v>
      </c>
      <c r="R54" s="15" t="s">
        <v>139</v>
      </c>
      <c r="S54" s="15">
        <v>1986</v>
      </c>
      <c r="T54" s="15" t="s">
        <v>211</v>
      </c>
      <c r="U54" s="15" t="s">
        <v>191</v>
      </c>
    </row>
    <row r="55" spans="1:21" x14ac:dyDescent="0.3">
      <c r="A55" s="22">
        <v>107</v>
      </c>
      <c r="B55" s="23">
        <v>11</v>
      </c>
      <c r="C55" s="23">
        <f t="shared" si="8"/>
        <v>11</v>
      </c>
      <c r="D55" s="23">
        <f t="shared" si="7"/>
        <v>11</v>
      </c>
      <c r="E55" s="23">
        <f>D55+31</f>
        <v>42</v>
      </c>
      <c r="F55" s="23">
        <f t="shared" si="10"/>
        <v>42</v>
      </c>
      <c r="G55" s="23">
        <f>F55+44</f>
        <v>86</v>
      </c>
      <c r="H55" s="23">
        <f t="shared" si="11"/>
        <v>86</v>
      </c>
      <c r="I55" s="23">
        <f>H55+15</f>
        <v>101</v>
      </c>
      <c r="J55" s="23">
        <f t="shared" si="12"/>
        <v>101</v>
      </c>
      <c r="K55" s="23">
        <f>J55+6</f>
        <v>107</v>
      </c>
      <c r="L55" s="23">
        <f t="shared" si="13"/>
        <v>107</v>
      </c>
      <c r="M55" s="23">
        <f t="shared" si="13"/>
        <v>107</v>
      </c>
      <c r="N55" s="23">
        <f t="shared" si="13"/>
        <v>107</v>
      </c>
      <c r="O55" s="15">
        <v>0</v>
      </c>
      <c r="P55" s="4">
        <v>3</v>
      </c>
      <c r="Q55" s="15" t="s">
        <v>138</v>
      </c>
      <c r="R55" s="15" t="s">
        <v>139</v>
      </c>
      <c r="S55" s="15">
        <v>1986</v>
      </c>
      <c r="T55" s="15" t="s">
        <v>211</v>
      </c>
    </row>
    <row r="56" spans="1:21" x14ac:dyDescent="0.3">
      <c r="A56" s="22">
        <v>29</v>
      </c>
      <c r="B56" s="23">
        <v>0</v>
      </c>
      <c r="C56" s="23">
        <f t="shared" si="8"/>
        <v>0</v>
      </c>
      <c r="D56" s="23">
        <f>C56+21</f>
        <v>21</v>
      </c>
      <c r="E56" s="23">
        <f t="shared" ref="E56:E80" si="14">D56+0</f>
        <v>21</v>
      </c>
      <c r="F56" s="23">
        <f>E56+35</f>
        <v>56</v>
      </c>
      <c r="G56" s="23">
        <f t="shared" ref="G56:G79" si="15">F56+0</f>
        <v>56</v>
      </c>
      <c r="H56" s="23">
        <f>G56+24</f>
        <v>80</v>
      </c>
      <c r="I56" s="23">
        <f t="shared" ref="I56:I79" si="16">H56+0</f>
        <v>80</v>
      </c>
      <c r="J56" s="23">
        <f>I56+14</f>
        <v>94</v>
      </c>
      <c r="K56" s="23">
        <f t="shared" ref="K56:K79" si="17">J56+0</f>
        <v>94</v>
      </c>
      <c r="L56" s="23">
        <f>K56+7</f>
        <v>101</v>
      </c>
      <c r="M56" s="23">
        <f t="shared" ref="M56:N60" si="18">L56+0</f>
        <v>101</v>
      </c>
      <c r="N56" s="23">
        <f t="shared" si="18"/>
        <v>101</v>
      </c>
      <c r="O56" s="15">
        <v>1825</v>
      </c>
      <c r="P56" s="4">
        <v>1</v>
      </c>
      <c r="Q56" s="15" t="s">
        <v>445</v>
      </c>
      <c r="R56" s="15" t="s">
        <v>411</v>
      </c>
      <c r="S56" s="15">
        <v>1959.06</v>
      </c>
      <c r="T56" s="15" t="s">
        <v>412</v>
      </c>
    </row>
    <row r="57" spans="1:21" x14ac:dyDescent="0.3">
      <c r="A57" s="22">
        <v>16</v>
      </c>
      <c r="B57" s="23">
        <v>0</v>
      </c>
      <c r="C57" s="23">
        <f t="shared" si="8"/>
        <v>0</v>
      </c>
      <c r="D57" s="23">
        <f>C57+0</f>
        <v>0</v>
      </c>
      <c r="E57" s="23">
        <f t="shared" si="14"/>
        <v>0</v>
      </c>
      <c r="F57" s="23">
        <f>E57+12</f>
        <v>12</v>
      </c>
      <c r="G57" s="23">
        <f t="shared" si="15"/>
        <v>12</v>
      </c>
      <c r="H57" s="23">
        <f>G57+12</f>
        <v>24</v>
      </c>
      <c r="I57" s="23">
        <f t="shared" si="16"/>
        <v>24</v>
      </c>
      <c r="J57" s="23">
        <f>I57+38</f>
        <v>62</v>
      </c>
      <c r="K57" s="23">
        <f t="shared" si="17"/>
        <v>62</v>
      </c>
      <c r="L57" s="23">
        <f>K57+38</f>
        <v>100</v>
      </c>
      <c r="M57" s="23">
        <f t="shared" si="18"/>
        <v>100</v>
      </c>
      <c r="N57" s="23">
        <f t="shared" si="18"/>
        <v>100</v>
      </c>
      <c r="O57" s="15">
        <v>1855</v>
      </c>
      <c r="P57" s="4">
        <v>1</v>
      </c>
      <c r="Q57" s="15" t="s">
        <v>445</v>
      </c>
      <c r="R57" s="15" t="s">
        <v>411</v>
      </c>
      <c r="S57" s="15">
        <v>1959.06</v>
      </c>
      <c r="T57" s="15" t="s">
        <v>412</v>
      </c>
    </row>
    <row r="58" spans="1:21" x14ac:dyDescent="0.3">
      <c r="A58" s="22">
        <v>30</v>
      </c>
      <c r="B58" s="23">
        <v>0</v>
      </c>
      <c r="C58" s="23">
        <f t="shared" si="8"/>
        <v>0</v>
      </c>
      <c r="D58" s="23">
        <f>C58+17</f>
        <v>17</v>
      </c>
      <c r="E58" s="23">
        <f t="shared" si="14"/>
        <v>17</v>
      </c>
      <c r="F58" s="23">
        <f>E58+37</f>
        <v>54</v>
      </c>
      <c r="G58" s="23">
        <f t="shared" si="15"/>
        <v>54</v>
      </c>
      <c r="H58" s="23">
        <f>G58+23</f>
        <v>77</v>
      </c>
      <c r="I58" s="23">
        <f t="shared" si="16"/>
        <v>77</v>
      </c>
      <c r="J58" s="23">
        <f>I58+23</f>
        <v>100</v>
      </c>
      <c r="K58" s="23">
        <f t="shared" si="17"/>
        <v>100</v>
      </c>
      <c r="L58" s="23">
        <f>K58+0</f>
        <v>100</v>
      </c>
      <c r="M58" s="23">
        <f t="shared" si="18"/>
        <v>100</v>
      </c>
      <c r="N58" s="23">
        <f t="shared" si="18"/>
        <v>100</v>
      </c>
      <c r="O58" s="15">
        <v>1825</v>
      </c>
      <c r="P58" s="4">
        <v>1</v>
      </c>
      <c r="Q58" s="15" t="s">
        <v>447</v>
      </c>
      <c r="R58" s="15" t="s">
        <v>411</v>
      </c>
      <c r="S58" s="15">
        <v>1959.06</v>
      </c>
      <c r="T58" s="15" t="s">
        <v>412</v>
      </c>
    </row>
    <row r="59" spans="1:21" x14ac:dyDescent="0.3">
      <c r="A59" s="22">
        <v>22</v>
      </c>
      <c r="B59" s="23">
        <v>0</v>
      </c>
      <c r="C59" s="23">
        <f t="shared" si="8"/>
        <v>0</v>
      </c>
      <c r="D59" s="23">
        <f>C59+0</f>
        <v>0</v>
      </c>
      <c r="E59" s="23">
        <f t="shared" si="14"/>
        <v>0</v>
      </c>
      <c r="F59" s="23">
        <f>E59+9</f>
        <v>9</v>
      </c>
      <c r="G59" s="23">
        <f t="shared" si="15"/>
        <v>9</v>
      </c>
      <c r="H59" s="23">
        <f>G59+14</f>
        <v>23</v>
      </c>
      <c r="I59" s="23">
        <f t="shared" si="16"/>
        <v>23</v>
      </c>
      <c r="J59" s="23">
        <f>I59+59</f>
        <v>82</v>
      </c>
      <c r="K59" s="23">
        <f t="shared" si="17"/>
        <v>82</v>
      </c>
      <c r="L59" s="23">
        <f>K59+18</f>
        <v>100</v>
      </c>
      <c r="M59" s="23">
        <f t="shared" si="18"/>
        <v>100</v>
      </c>
      <c r="N59" s="23">
        <f t="shared" si="18"/>
        <v>100</v>
      </c>
      <c r="O59" s="15">
        <v>1855</v>
      </c>
      <c r="P59" s="4">
        <v>1</v>
      </c>
      <c r="Q59" s="15" t="s">
        <v>447</v>
      </c>
      <c r="R59" s="15" t="s">
        <v>411</v>
      </c>
      <c r="S59" s="15">
        <v>1959.06</v>
      </c>
      <c r="T59" s="15" t="s">
        <v>412</v>
      </c>
    </row>
    <row r="60" spans="1:21" x14ac:dyDescent="0.3">
      <c r="A60" s="22">
        <v>54</v>
      </c>
      <c r="B60" s="23">
        <v>8</v>
      </c>
      <c r="C60" s="23">
        <f t="shared" si="8"/>
        <v>8</v>
      </c>
      <c r="D60" s="23">
        <f>C60+38</f>
        <v>46</v>
      </c>
      <c r="E60" s="23">
        <f t="shared" si="14"/>
        <v>46</v>
      </c>
      <c r="F60" s="23">
        <f>E60+43</f>
        <v>89</v>
      </c>
      <c r="G60" s="23">
        <f t="shared" si="15"/>
        <v>89</v>
      </c>
      <c r="H60" s="23">
        <f>G60+11</f>
        <v>100</v>
      </c>
      <c r="I60" s="23">
        <f t="shared" si="16"/>
        <v>100</v>
      </c>
      <c r="J60" s="23">
        <f>I60+0</f>
        <v>100</v>
      </c>
      <c r="K60" s="23">
        <f t="shared" si="17"/>
        <v>100</v>
      </c>
      <c r="L60" s="23">
        <f>K60+0</f>
        <v>100</v>
      </c>
      <c r="M60" s="23">
        <f t="shared" si="18"/>
        <v>100</v>
      </c>
      <c r="N60" s="23">
        <f t="shared" si="18"/>
        <v>100</v>
      </c>
      <c r="O60" s="15">
        <v>1825</v>
      </c>
      <c r="P60" s="4">
        <v>1</v>
      </c>
      <c r="Q60" s="15" t="s">
        <v>446</v>
      </c>
      <c r="R60" s="15" t="s">
        <v>411</v>
      </c>
      <c r="S60" s="15">
        <v>1959.06</v>
      </c>
      <c r="T60" s="15" t="s">
        <v>412</v>
      </c>
    </row>
    <row r="61" spans="1:21" x14ac:dyDescent="0.3">
      <c r="A61" s="22">
        <v>56</v>
      </c>
      <c r="B61" s="23">
        <v>0</v>
      </c>
      <c r="C61" s="23">
        <f t="shared" si="8"/>
        <v>0</v>
      </c>
      <c r="D61" s="23">
        <f>C61+5</f>
        <v>5</v>
      </c>
      <c r="E61" s="23">
        <f t="shared" si="14"/>
        <v>5</v>
      </c>
      <c r="F61" s="23">
        <f>E61+7</f>
        <v>12</v>
      </c>
      <c r="G61" s="23">
        <f t="shared" si="15"/>
        <v>12</v>
      </c>
      <c r="H61" s="23">
        <f>G61+12</f>
        <v>24</v>
      </c>
      <c r="I61" s="23">
        <f t="shared" si="16"/>
        <v>24</v>
      </c>
      <c r="J61" s="23">
        <f>I61+32</f>
        <v>56</v>
      </c>
      <c r="K61" s="23">
        <f t="shared" si="17"/>
        <v>56</v>
      </c>
      <c r="L61" s="23">
        <f>K61+30</f>
        <v>86</v>
      </c>
      <c r="M61" s="23">
        <f t="shared" ref="M61:M79" si="19">L61+0</f>
        <v>86</v>
      </c>
      <c r="N61" s="23">
        <f>M61+14</f>
        <v>100</v>
      </c>
      <c r="O61" s="15">
        <v>1855</v>
      </c>
      <c r="P61" s="4">
        <v>1</v>
      </c>
      <c r="Q61" s="15" t="s">
        <v>446</v>
      </c>
      <c r="R61" s="15" t="s">
        <v>411</v>
      </c>
      <c r="S61" s="15">
        <v>1959.06</v>
      </c>
      <c r="T61" s="15" t="s">
        <v>412</v>
      </c>
    </row>
    <row r="62" spans="1:21" x14ac:dyDescent="0.3">
      <c r="A62" s="22">
        <v>156</v>
      </c>
      <c r="B62" s="23">
        <v>28</v>
      </c>
      <c r="C62" s="23">
        <f t="shared" si="8"/>
        <v>28</v>
      </c>
      <c r="D62" s="23">
        <f>C62+40</f>
        <v>68</v>
      </c>
      <c r="E62" s="23">
        <f t="shared" si="14"/>
        <v>68</v>
      </c>
      <c r="F62" s="23">
        <f>E62+28</f>
        <v>96</v>
      </c>
      <c r="G62" s="23">
        <f t="shared" si="15"/>
        <v>96</v>
      </c>
      <c r="H62" s="23">
        <f>G62+4</f>
        <v>100</v>
      </c>
      <c r="I62" s="23">
        <f t="shared" si="16"/>
        <v>100</v>
      </c>
      <c r="J62" s="23">
        <f>I62+0</f>
        <v>100</v>
      </c>
      <c r="K62" s="23">
        <f t="shared" si="17"/>
        <v>100</v>
      </c>
      <c r="L62" s="23">
        <f>K62+0</f>
        <v>100</v>
      </c>
      <c r="M62" s="23">
        <f t="shared" si="19"/>
        <v>100</v>
      </c>
      <c r="N62" s="23">
        <f>M62+0</f>
        <v>100</v>
      </c>
      <c r="O62" s="15">
        <v>1825</v>
      </c>
      <c r="P62" s="4">
        <v>1</v>
      </c>
      <c r="Q62" s="15" t="s">
        <v>443</v>
      </c>
      <c r="R62" s="15" t="s">
        <v>411</v>
      </c>
      <c r="S62" s="15">
        <v>1959.06</v>
      </c>
      <c r="T62" s="15" t="s">
        <v>412</v>
      </c>
    </row>
    <row r="63" spans="1:21" x14ac:dyDescent="0.3">
      <c r="A63" s="22">
        <v>79</v>
      </c>
      <c r="B63" s="87">
        <v>14</v>
      </c>
      <c r="C63" s="87">
        <f t="shared" si="8"/>
        <v>14</v>
      </c>
      <c r="D63" s="87">
        <f>C63+11</f>
        <v>25</v>
      </c>
      <c r="E63" s="87">
        <f t="shared" si="14"/>
        <v>25</v>
      </c>
      <c r="F63" s="87">
        <f>E63+13</f>
        <v>38</v>
      </c>
      <c r="G63" s="87">
        <f t="shared" si="15"/>
        <v>38</v>
      </c>
      <c r="H63" s="87">
        <f>G63+19</f>
        <v>57</v>
      </c>
      <c r="I63" s="87">
        <f t="shared" si="16"/>
        <v>57</v>
      </c>
      <c r="J63" s="87">
        <f>I63+28</f>
        <v>85</v>
      </c>
      <c r="K63" s="87">
        <f t="shared" si="17"/>
        <v>85</v>
      </c>
      <c r="L63" s="87">
        <f>K63+14</f>
        <v>99</v>
      </c>
      <c r="M63" s="87">
        <f t="shared" si="19"/>
        <v>99</v>
      </c>
      <c r="N63" s="87">
        <f>M63+1</f>
        <v>100</v>
      </c>
      <c r="O63" s="15">
        <v>1855</v>
      </c>
      <c r="P63" s="4">
        <v>1</v>
      </c>
      <c r="Q63" s="81" t="s">
        <v>443</v>
      </c>
      <c r="R63" s="15" t="s">
        <v>411</v>
      </c>
      <c r="S63" s="15">
        <v>1959.06</v>
      </c>
      <c r="T63" s="15" t="s">
        <v>412</v>
      </c>
    </row>
    <row r="64" spans="1:21" x14ac:dyDescent="0.3">
      <c r="A64" s="22">
        <v>30</v>
      </c>
      <c r="B64" s="87">
        <v>0</v>
      </c>
      <c r="C64" s="87">
        <f t="shared" si="8"/>
        <v>0</v>
      </c>
      <c r="D64" s="87">
        <f>C64+7</f>
        <v>7</v>
      </c>
      <c r="E64" s="87">
        <f t="shared" si="14"/>
        <v>7</v>
      </c>
      <c r="F64" s="87">
        <f>E64+50</f>
        <v>57</v>
      </c>
      <c r="G64" s="87">
        <f t="shared" si="15"/>
        <v>57</v>
      </c>
      <c r="H64" s="87">
        <f>G64+23</f>
        <v>80</v>
      </c>
      <c r="I64" s="87">
        <f t="shared" si="16"/>
        <v>80</v>
      </c>
      <c r="J64" s="87">
        <f>I64+20</f>
        <v>100</v>
      </c>
      <c r="K64" s="87">
        <f t="shared" si="17"/>
        <v>100</v>
      </c>
      <c r="L64" s="87">
        <f>K64+0</f>
        <v>100</v>
      </c>
      <c r="M64" s="87">
        <f t="shared" si="19"/>
        <v>100</v>
      </c>
      <c r="N64" s="87">
        <f>M64+0</f>
        <v>100</v>
      </c>
      <c r="O64" s="15">
        <v>1825</v>
      </c>
      <c r="P64" s="4">
        <v>2</v>
      </c>
      <c r="Q64" s="81" t="s">
        <v>444</v>
      </c>
      <c r="R64" s="15" t="s">
        <v>411</v>
      </c>
      <c r="S64" s="15">
        <v>1959.06</v>
      </c>
      <c r="T64" s="15" t="s">
        <v>412</v>
      </c>
    </row>
    <row r="65" spans="1:21" x14ac:dyDescent="0.3">
      <c r="A65" s="22">
        <v>45</v>
      </c>
      <c r="B65" s="87">
        <v>0</v>
      </c>
      <c r="C65" s="87">
        <f t="shared" si="8"/>
        <v>0</v>
      </c>
      <c r="D65" s="87">
        <f>C65+0</f>
        <v>0</v>
      </c>
      <c r="E65" s="87">
        <f t="shared" si="14"/>
        <v>0</v>
      </c>
      <c r="F65" s="87">
        <f>E65+2</f>
        <v>2</v>
      </c>
      <c r="G65" s="87">
        <f t="shared" si="15"/>
        <v>2</v>
      </c>
      <c r="H65" s="87">
        <f>G65+13</f>
        <v>15</v>
      </c>
      <c r="I65" s="87">
        <f t="shared" si="16"/>
        <v>15</v>
      </c>
      <c r="J65" s="87">
        <f>I65+47</f>
        <v>62</v>
      </c>
      <c r="K65" s="87">
        <f t="shared" si="17"/>
        <v>62</v>
      </c>
      <c r="L65" s="87">
        <f>K65+33</f>
        <v>95</v>
      </c>
      <c r="M65" s="87">
        <f t="shared" si="19"/>
        <v>95</v>
      </c>
      <c r="N65" s="87">
        <f>M65+5</f>
        <v>100</v>
      </c>
      <c r="O65" s="15">
        <v>1855</v>
      </c>
      <c r="P65" s="4">
        <v>2</v>
      </c>
      <c r="Q65" s="81" t="s">
        <v>444</v>
      </c>
      <c r="R65" s="15" t="s">
        <v>411</v>
      </c>
      <c r="S65" s="15">
        <v>1959.06</v>
      </c>
      <c r="T65" s="15" t="s">
        <v>412</v>
      </c>
    </row>
    <row r="66" spans="1:21" x14ac:dyDescent="0.3">
      <c r="A66" s="22">
        <v>30</v>
      </c>
      <c r="B66" s="87">
        <v>0</v>
      </c>
      <c r="C66" s="87">
        <f t="shared" ref="C66:C80" si="20">B66+0</f>
        <v>0</v>
      </c>
      <c r="D66" s="87">
        <f>C66+17</f>
        <v>17</v>
      </c>
      <c r="E66" s="87">
        <f t="shared" si="14"/>
        <v>17</v>
      </c>
      <c r="F66" s="87">
        <f>E66+33</f>
        <v>50</v>
      </c>
      <c r="G66" s="87">
        <f t="shared" si="15"/>
        <v>50</v>
      </c>
      <c r="H66" s="87">
        <f>G66+37</f>
        <v>87</v>
      </c>
      <c r="I66" s="87">
        <f t="shared" si="16"/>
        <v>87</v>
      </c>
      <c r="J66" s="87">
        <f>I66+13</f>
        <v>100</v>
      </c>
      <c r="K66" s="87">
        <f t="shared" si="17"/>
        <v>100</v>
      </c>
      <c r="L66" s="87">
        <f>K66+0</f>
        <v>100</v>
      </c>
      <c r="M66" s="87">
        <f t="shared" si="19"/>
        <v>100</v>
      </c>
      <c r="N66" s="87">
        <f>M66+0</f>
        <v>100</v>
      </c>
      <c r="O66" s="15">
        <v>1825</v>
      </c>
      <c r="P66" s="4">
        <v>2</v>
      </c>
      <c r="Q66" s="81" t="s">
        <v>448</v>
      </c>
      <c r="R66" s="15" t="s">
        <v>411</v>
      </c>
      <c r="S66" s="15">
        <v>1959.06</v>
      </c>
      <c r="T66" s="15" t="s">
        <v>412</v>
      </c>
    </row>
    <row r="67" spans="1:21" x14ac:dyDescent="0.3">
      <c r="A67" s="22">
        <v>52</v>
      </c>
      <c r="B67" s="87">
        <v>0</v>
      </c>
      <c r="C67" s="87">
        <f t="shared" si="20"/>
        <v>0</v>
      </c>
      <c r="D67" s="87">
        <f>C67+0</f>
        <v>0</v>
      </c>
      <c r="E67" s="87">
        <f t="shared" si="14"/>
        <v>0</v>
      </c>
      <c r="F67" s="87">
        <f>E67+0</f>
        <v>0</v>
      </c>
      <c r="G67" s="87">
        <f t="shared" si="15"/>
        <v>0</v>
      </c>
      <c r="H67" s="87">
        <f>G67+2</f>
        <v>2</v>
      </c>
      <c r="I67" s="87">
        <f t="shared" si="16"/>
        <v>2</v>
      </c>
      <c r="J67" s="87">
        <f>I67+17</f>
        <v>19</v>
      </c>
      <c r="K67" s="87">
        <f t="shared" si="17"/>
        <v>19</v>
      </c>
      <c r="L67" s="87">
        <f>K67+50</f>
        <v>69</v>
      </c>
      <c r="M67" s="87">
        <f t="shared" si="19"/>
        <v>69</v>
      </c>
      <c r="N67" s="87">
        <f>M67+31</f>
        <v>100</v>
      </c>
      <c r="O67" s="15">
        <v>1855</v>
      </c>
      <c r="P67" s="4">
        <v>2</v>
      </c>
      <c r="Q67" s="81" t="s">
        <v>448</v>
      </c>
      <c r="R67" s="15" t="s">
        <v>411</v>
      </c>
      <c r="S67" s="15">
        <v>1959.06</v>
      </c>
      <c r="T67" s="15" t="s">
        <v>412</v>
      </c>
    </row>
    <row r="68" spans="1:21" x14ac:dyDescent="0.3">
      <c r="A68" s="22">
        <v>54</v>
      </c>
      <c r="B68" s="87">
        <v>0</v>
      </c>
      <c r="C68" s="87">
        <f t="shared" si="20"/>
        <v>0</v>
      </c>
      <c r="D68" s="87">
        <f>C68+22</f>
        <v>22</v>
      </c>
      <c r="E68" s="87">
        <f t="shared" si="14"/>
        <v>22</v>
      </c>
      <c r="F68" s="87">
        <f>E68+37</f>
        <v>59</v>
      </c>
      <c r="G68" s="87">
        <f t="shared" si="15"/>
        <v>59</v>
      </c>
      <c r="H68" s="87">
        <f>G68+28</f>
        <v>87</v>
      </c>
      <c r="I68" s="87">
        <f t="shared" si="16"/>
        <v>87</v>
      </c>
      <c r="J68" s="87">
        <f>I68+11</f>
        <v>98</v>
      </c>
      <c r="K68" s="87">
        <f t="shared" si="17"/>
        <v>98</v>
      </c>
      <c r="L68" s="87">
        <f>K68+2</f>
        <v>100</v>
      </c>
      <c r="M68" s="87">
        <f t="shared" si="19"/>
        <v>100</v>
      </c>
      <c r="N68" s="87">
        <f>M68+0</f>
        <v>100</v>
      </c>
      <c r="O68" s="15">
        <v>1825</v>
      </c>
      <c r="P68" s="4">
        <v>2</v>
      </c>
      <c r="Q68" s="81" t="s">
        <v>446</v>
      </c>
      <c r="R68" s="15" t="s">
        <v>411</v>
      </c>
      <c r="S68" s="15">
        <v>1959.06</v>
      </c>
      <c r="T68" s="15" t="s">
        <v>412</v>
      </c>
    </row>
    <row r="69" spans="1:21" x14ac:dyDescent="0.3">
      <c r="A69" s="22">
        <v>56</v>
      </c>
      <c r="B69" s="87">
        <v>0</v>
      </c>
      <c r="C69" s="87">
        <f t="shared" si="20"/>
        <v>0</v>
      </c>
      <c r="D69" s="87">
        <f>C69+0</f>
        <v>0</v>
      </c>
      <c r="E69" s="87">
        <f t="shared" si="14"/>
        <v>0</v>
      </c>
      <c r="F69" s="87">
        <f>E69+7</f>
        <v>7</v>
      </c>
      <c r="G69" s="87">
        <f t="shared" si="15"/>
        <v>7</v>
      </c>
      <c r="H69" s="87">
        <f>G69+5</f>
        <v>12</v>
      </c>
      <c r="I69" s="87">
        <f t="shared" si="16"/>
        <v>12</v>
      </c>
      <c r="J69" s="87">
        <f>I69+48</f>
        <v>60</v>
      </c>
      <c r="K69" s="87">
        <f t="shared" si="17"/>
        <v>60</v>
      </c>
      <c r="L69" s="87">
        <f>K69+32</f>
        <v>92</v>
      </c>
      <c r="M69" s="87">
        <f t="shared" si="19"/>
        <v>92</v>
      </c>
      <c r="N69" s="87">
        <f>M69+7</f>
        <v>99</v>
      </c>
      <c r="O69" s="81">
        <v>1855</v>
      </c>
      <c r="P69" s="70">
        <v>2</v>
      </c>
      <c r="Q69" s="81" t="s">
        <v>446</v>
      </c>
      <c r="R69" s="15" t="s">
        <v>411</v>
      </c>
      <c r="S69" s="15">
        <v>1959.06</v>
      </c>
      <c r="T69" s="15" t="s">
        <v>412</v>
      </c>
    </row>
    <row r="70" spans="1:21" x14ac:dyDescent="0.3">
      <c r="A70" s="86">
        <v>156</v>
      </c>
      <c r="B70" s="87">
        <v>12</v>
      </c>
      <c r="C70" s="87">
        <f t="shared" si="20"/>
        <v>12</v>
      </c>
      <c r="D70" s="87">
        <f>C70+36</f>
        <v>48</v>
      </c>
      <c r="E70" s="87">
        <f t="shared" si="14"/>
        <v>48</v>
      </c>
      <c r="F70" s="87">
        <f>E70+39</f>
        <v>87</v>
      </c>
      <c r="G70" s="87">
        <f t="shared" si="15"/>
        <v>87</v>
      </c>
      <c r="H70" s="87">
        <f>G70+12</f>
        <v>99</v>
      </c>
      <c r="I70" s="87">
        <f t="shared" si="16"/>
        <v>99</v>
      </c>
      <c r="J70" s="87">
        <f>I70+1</f>
        <v>100</v>
      </c>
      <c r="K70" s="87">
        <f t="shared" si="17"/>
        <v>100</v>
      </c>
      <c r="L70" s="87">
        <f>K70+1</f>
        <v>101</v>
      </c>
      <c r="M70" s="87">
        <f t="shared" si="19"/>
        <v>101</v>
      </c>
      <c r="N70" s="87">
        <f>M70+0</f>
        <v>101</v>
      </c>
      <c r="O70" s="81">
        <v>1825</v>
      </c>
      <c r="P70" s="70">
        <v>2</v>
      </c>
      <c r="Q70" s="81" t="s">
        <v>443</v>
      </c>
      <c r="R70" s="15" t="s">
        <v>411</v>
      </c>
      <c r="S70" s="15">
        <v>1959.06</v>
      </c>
      <c r="T70" s="15" t="s">
        <v>412</v>
      </c>
    </row>
    <row r="71" spans="1:21" x14ac:dyDescent="0.3">
      <c r="A71" s="86">
        <v>79</v>
      </c>
      <c r="B71" s="87">
        <v>0</v>
      </c>
      <c r="C71" s="87">
        <f t="shared" si="20"/>
        <v>0</v>
      </c>
      <c r="D71" s="87">
        <f>C71+0</f>
        <v>0</v>
      </c>
      <c r="E71" s="87">
        <f t="shared" si="14"/>
        <v>0</v>
      </c>
      <c r="F71" s="87">
        <f>E71+5</f>
        <v>5</v>
      </c>
      <c r="G71" s="87">
        <f t="shared" si="15"/>
        <v>5</v>
      </c>
      <c r="H71" s="87">
        <f>G71+11</f>
        <v>16</v>
      </c>
      <c r="I71" s="87">
        <f t="shared" si="16"/>
        <v>16</v>
      </c>
      <c r="J71" s="87">
        <f>I71+50</f>
        <v>66</v>
      </c>
      <c r="K71" s="87">
        <f t="shared" si="17"/>
        <v>66</v>
      </c>
      <c r="L71" s="87">
        <f>K71+29</f>
        <v>95</v>
      </c>
      <c r="M71" s="87">
        <f t="shared" si="19"/>
        <v>95</v>
      </c>
      <c r="N71" s="87">
        <f>M71+5</f>
        <v>100</v>
      </c>
      <c r="O71" s="81">
        <v>1855</v>
      </c>
      <c r="P71" s="70">
        <v>2</v>
      </c>
      <c r="Q71" s="81" t="s">
        <v>443</v>
      </c>
      <c r="R71" s="15" t="s">
        <v>411</v>
      </c>
      <c r="S71" s="15">
        <v>1959.06</v>
      </c>
      <c r="T71" s="15" t="s">
        <v>412</v>
      </c>
    </row>
    <row r="72" spans="1:21" s="85" customFormat="1" x14ac:dyDescent="0.3">
      <c r="A72" s="86">
        <v>30</v>
      </c>
      <c r="B72" s="87">
        <v>18</v>
      </c>
      <c r="C72" s="87">
        <f t="shared" si="20"/>
        <v>18</v>
      </c>
      <c r="D72" s="87">
        <f>C72+25</f>
        <v>43</v>
      </c>
      <c r="E72" s="87">
        <f t="shared" si="14"/>
        <v>43</v>
      </c>
      <c r="F72" s="87">
        <f>E72+37</f>
        <v>80</v>
      </c>
      <c r="G72" s="87">
        <f t="shared" si="15"/>
        <v>80</v>
      </c>
      <c r="H72" s="87">
        <f>G72+17</f>
        <v>97</v>
      </c>
      <c r="I72" s="87">
        <f t="shared" si="16"/>
        <v>97</v>
      </c>
      <c r="J72" s="87">
        <f>I72+3</f>
        <v>100</v>
      </c>
      <c r="K72" s="87">
        <f t="shared" si="17"/>
        <v>100</v>
      </c>
      <c r="L72" s="87">
        <f>K72+0</f>
        <v>100</v>
      </c>
      <c r="M72" s="87">
        <f t="shared" si="19"/>
        <v>100</v>
      </c>
      <c r="N72" s="87">
        <f t="shared" ref="N72:N79" si="21">M72+0</f>
        <v>100</v>
      </c>
      <c r="O72" s="81">
        <v>1825</v>
      </c>
      <c r="P72" s="70">
        <v>3</v>
      </c>
      <c r="Q72" s="81" t="s">
        <v>444</v>
      </c>
      <c r="R72" s="81" t="s">
        <v>411</v>
      </c>
      <c r="S72" s="81">
        <v>1959.06</v>
      </c>
      <c r="T72" s="81" t="s">
        <v>412</v>
      </c>
      <c r="U72" s="81"/>
    </row>
    <row r="73" spans="1:21" s="85" customFormat="1" x14ac:dyDescent="0.3">
      <c r="A73" s="86">
        <v>45</v>
      </c>
      <c r="B73" s="87">
        <v>11</v>
      </c>
      <c r="C73" s="87">
        <f t="shared" si="20"/>
        <v>11</v>
      </c>
      <c r="D73" s="87">
        <f>C73+11</f>
        <v>22</v>
      </c>
      <c r="E73" s="87">
        <f t="shared" si="14"/>
        <v>22</v>
      </c>
      <c r="F73" s="87">
        <f>E73+33</f>
        <v>55</v>
      </c>
      <c r="G73" s="87">
        <f t="shared" si="15"/>
        <v>55</v>
      </c>
      <c r="H73" s="87">
        <f>G73+22</f>
        <v>77</v>
      </c>
      <c r="I73" s="87">
        <f t="shared" si="16"/>
        <v>77</v>
      </c>
      <c r="J73" s="87">
        <f>I73+16</f>
        <v>93</v>
      </c>
      <c r="K73" s="87">
        <f t="shared" si="17"/>
        <v>93</v>
      </c>
      <c r="L73" s="87">
        <f>K73+7</f>
        <v>100</v>
      </c>
      <c r="M73" s="87">
        <f t="shared" si="19"/>
        <v>100</v>
      </c>
      <c r="N73" s="87">
        <f t="shared" si="21"/>
        <v>100</v>
      </c>
      <c r="O73" s="81">
        <v>1855</v>
      </c>
      <c r="P73" s="70">
        <v>3</v>
      </c>
      <c r="Q73" s="81" t="s">
        <v>444</v>
      </c>
      <c r="R73" s="81" t="s">
        <v>411</v>
      </c>
      <c r="S73" s="81">
        <v>1959.06</v>
      </c>
      <c r="T73" s="81" t="s">
        <v>412</v>
      </c>
      <c r="U73" s="81"/>
    </row>
    <row r="74" spans="1:21" s="85" customFormat="1" x14ac:dyDescent="0.3">
      <c r="A74" s="86">
        <v>40</v>
      </c>
      <c r="B74" s="87">
        <v>3</v>
      </c>
      <c r="C74" s="87">
        <f t="shared" si="20"/>
        <v>3</v>
      </c>
      <c r="D74" s="87">
        <f>C74+32</f>
        <v>35</v>
      </c>
      <c r="E74" s="87">
        <f t="shared" si="14"/>
        <v>35</v>
      </c>
      <c r="F74" s="87">
        <f>E74+45</f>
        <v>80</v>
      </c>
      <c r="G74" s="87">
        <f t="shared" si="15"/>
        <v>80</v>
      </c>
      <c r="H74" s="87">
        <f>G74+17</f>
        <v>97</v>
      </c>
      <c r="I74" s="87">
        <f t="shared" si="16"/>
        <v>97</v>
      </c>
      <c r="J74" s="87">
        <f>I74+3</f>
        <v>100</v>
      </c>
      <c r="K74" s="87">
        <f t="shared" si="17"/>
        <v>100</v>
      </c>
      <c r="L74" s="87">
        <f>K74+0</f>
        <v>100</v>
      </c>
      <c r="M74" s="87">
        <f t="shared" si="19"/>
        <v>100</v>
      </c>
      <c r="N74" s="87">
        <f t="shared" si="21"/>
        <v>100</v>
      </c>
      <c r="O74" s="81">
        <v>1825</v>
      </c>
      <c r="P74" s="70">
        <v>3</v>
      </c>
      <c r="Q74" s="81" t="s">
        <v>449</v>
      </c>
      <c r="R74" s="81" t="s">
        <v>411</v>
      </c>
      <c r="S74" s="81">
        <v>1959.06</v>
      </c>
      <c r="T74" s="81" t="s">
        <v>412</v>
      </c>
      <c r="U74" s="81"/>
    </row>
    <row r="75" spans="1:21" s="85" customFormat="1" x14ac:dyDescent="0.3">
      <c r="A75" s="86">
        <v>37</v>
      </c>
      <c r="B75" s="87">
        <v>0</v>
      </c>
      <c r="C75" s="87">
        <f t="shared" si="20"/>
        <v>0</v>
      </c>
      <c r="D75" s="87">
        <f>C75+6</f>
        <v>6</v>
      </c>
      <c r="E75" s="87">
        <f t="shared" si="14"/>
        <v>6</v>
      </c>
      <c r="F75" s="87">
        <f>E75+24</f>
        <v>30</v>
      </c>
      <c r="G75" s="87">
        <f t="shared" si="15"/>
        <v>30</v>
      </c>
      <c r="H75" s="87">
        <f>G75+30</f>
        <v>60</v>
      </c>
      <c r="I75" s="87">
        <f t="shared" si="16"/>
        <v>60</v>
      </c>
      <c r="J75" s="87">
        <f>I75+27</f>
        <v>87</v>
      </c>
      <c r="K75" s="87">
        <f t="shared" si="17"/>
        <v>87</v>
      </c>
      <c r="L75" s="87">
        <f>K75+12</f>
        <v>99</v>
      </c>
      <c r="M75" s="87">
        <f t="shared" si="19"/>
        <v>99</v>
      </c>
      <c r="N75" s="87">
        <f t="shared" si="21"/>
        <v>99</v>
      </c>
      <c r="O75" s="81">
        <v>1855</v>
      </c>
      <c r="P75" s="70">
        <v>3</v>
      </c>
      <c r="Q75" s="81" t="s">
        <v>449</v>
      </c>
      <c r="R75" s="81" t="s">
        <v>411</v>
      </c>
      <c r="S75" s="81">
        <v>1959.06</v>
      </c>
      <c r="T75" s="81" t="s">
        <v>412</v>
      </c>
      <c r="U75" s="81"/>
    </row>
    <row r="76" spans="1:21" s="85" customFormat="1" x14ac:dyDescent="0.3">
      <c r="A76" s="86">
        <v>29</v>
      </c>
      <c r="B76" s="87">
        <v>23</v>
      </c>
      <c r="C76" s="87">
        <f t="shared" si="20"/>
        <v>23</v>
      </c>
      <c r="D76" s="87">
        <f>C76+53</f>
        <v>76</v>
      </c>
      <c r="E76" s="87">
        <f t="shared" si="14"/>
        <v>76</v>
      </c>
      <c r="F76" s="87">
        <f>E76+10</f>
        <v>86</v>
      </c>
      <c r="G76" s="87">
        <f t="shared" si="15"/>
        <v>86</v>
      </c>
      <c r="H76" s="87">
        <f>G76+7</f>
        <v>93</v>
      </c>
      <c r="I76" s="87">
        <f t="shared" si="16"/>
        <v>93</v>
      </c>
      <c r="J76" s="87">
        <f>I76+7</f>
        <v>100</v>
      </c>
      <c r="K76" s="87">
        <f t="shared" si="17"/>
        <v>100</v>
      </c>
      <c r="L76" s="87">
        <f>K76+0</f>
        <v>100</v>
      </c>
      <c r="M76" s="87">
        <f t="shared" si="19"/>
        <v>100</v>
      </c>
      <c r="N76" s="87">
        <f t="shared" si="21"/>
        <v>100</v>
      </c>
      <c r="O76" s="81">
        <v>1825</v>
      </c>
      <c r="P76" s="70">
        <v>3</v>
      </c>
      <c r="Q76" s="81" t="s">
        <v>445</v>
      </c>
      <c r="R76" s="81" t="s">
        <v>411</v>
      </c>
      <c r="S76" s="81">
        <v>1959.06</v>
      </c>
      <c r="T76" s="81" t="s">
        <v>412</v>
      </c>
      <c r="U76" s="81"/>
    </row>
    <row r="77" spans="1:21" s="85" customFormat="1" x14ac:dyDescent="0.3">
      <c r="A77" s="86">
        <v>16</v>
      </c>
      <c r="B77" s="87">
        <v>6</v>
      </c>
      <c r="C77" s="87">
        <f t="shared" si="20"/>
        <v>6</v>
      </c>
      <c r="D77" s="87">
        <f>C77+12</f>
        <v>18</v>
      </c>
      <c r="E77" s="87">
        <f t="shared" si="14"/>
        <v>18</v>
      </c>
      <c r="F77" s="87">
        <f>E77+31</f>
        <v>49</v>
      </c>
      <c r="G77" s="87">
        <f t="shared" si="15"/>
        <v>49</v>
      </c>
      <c r="H77" s="87">
        <f>G77+0</f>
        <v>49</v>
      </c>
      <c r="I77" s="87">
        <f t="shared" si="16"/>
        <v>49</v>
      </c>
      <c r="J77" s="87">
        <f>I77+37</f>
        <v>86</v>
      </c>
      <c r="K77" s="87">
        <f t="shared" si="17"/>
        <v>86</v>
      </c>
      <c r="L77" s="87">
        <f>K77+12</f>
        <v>98</v>
      </c>
      <c r="M77" s="87">
        <f t="shared" si="19"/>
        <v>98</v>
      </c>
      <c r="N77" s="87">
        <f t="shared" si="21"/>
        <v>98</v>
      </c>
      <c r="O77" s="81">
        <v>1855</v>
      </c>
      <c r="P77" s="70">
        <v>3</v>
      </c>
      <c r="Q77" s="81" t="s">
        <v>445</v>
      </c>
      <c r="R77" s="81" t="s">
        <v>411</v>
      </c>
      <c r="S77" s="81">
        <v>1959.06</v>
      </c>
      <c r="T77" s="81" t="s">
        <v>412</v>
      </c>
      <c r="U77" s="81"/>
    </row>
    <row r="78" spans="1:21" s="85" customFormat="1" x14ac:dyDescent="0.3">
      <c r="A78" s="86">
        <v>156</v>
      </c>
      <c r="B78" s="87">
        <v>50</v>
      </c>
      <c r="C78" s="87">
        <f t="shared" si="20"/>
        <v>50</v>
      </c>
      <c r="D78" s="87">
        <f>C78+31</f>
        <v>81</v>
      </c>
      <c r="E78" s="87">
        <f t="shared" si="14"/>
        <v>81</v>
      </c>
      <c r="F78" s="87">
        <f>E78+15</f>
        <v>96</v>
      </c>
      <c r="G78" s="87">
        <f t="shared" si="15"/>
        <v>96</v>
      </c>
      <c r="H78" s="87">
        <f>G78+3</f>
        <v>99</v>
      </c>
      <c r="I78" s="87">
        <f t="shared" si="16"/>
        <v>99</v>
      </c>
      <c r="J78" s="87">
        <f>I78+0</f>
        <v>99</v>
      </c>
      <c r="K78" s="87">
        <f t="shared" si="17"/>
        <v>99</v>
      </c>
      <c r="L78" s="87">
        <f>K78+0</f>
        <v>99</v>
      </c>
      <c r="M78" s="87">
        <f t="shared" si="19"/>
        <v>99</v>
      </c>
      <c r="N78" s="87">
        <f t="shared" si="21"/>
        <v>99</v>
      </c>
      <c r="O78" s="81">
        <v>1825</v>
      </c>
      <c r="P78" s="70">
        <v>3</v>
      </c>
      <c r="Q78" s="81" t="s">
        <v>443</v>
      </c>
      <c r="R78" s="81" t="s">
        <v>411</v>
      </c>
      <c r="S78" s="81">
        <v>1959.06</v>
      </c>
      <c r="T78" s="81" t="s">
        <v>412</v>
      </c>
      <c r="U78" s="81"/>
    </row>
    <row r="79" spans="1:21" s="85" customFormat="1" x14ac:dyDescent="0.3">
      <c r="A79" s="86">
        <v>79</v>
      </c>
      <c r="B79" s="87">
        <v>37</v>
      </c>
      <c r="C79" s="87">
        <f t="shared" si="20"/>
        <v>37</v>
      </c>
      <c r="D79" s="87">
        <f>C79+20</f>
        <v>57</v>
      </c>
      <c r="E79" s="87">
        <f t="shared" si="14"/>
        <v>57</v>
      </c>
      <c r="F79" s="87">
        <f>E79+13</f>
        <v>70</v>
      </c>
      <c r="G79" s="87">
        <f t="shared" si="15"/>
        <v>70</v>
      </c>
      <c r="H79" s="87">
        <f>G79+18</f>
        <v>88</v>
      </c>
      <c r="I79" s="87">
        <f t="shared" si="16"/>
        <v>88</v>
      </c>
      <c r="J79" s="87">
        <f>I79+9</f>
        <v>97</v>
      </c>
      <c r="K79" s="87">
        <f t="shared" si="17"/>
        <v>97</v>
      </c>
      <c r="L79" s="87">
        <f>K79+4</f>
        <v>101</v>
      </c>
      <c r="M79" s="87">
        <f t="shared" si="19"/>
        <v>101</v>
      </c>
      <c r="N79" s="87">
        <f t="shared" si="21"/>
        <v>101</v>
      </c>
      <c r="O79" s="81">
        <v>1855</v>
      </c>
      <c r="P79" s="70">
        <v>3</v>
      </c>
      <c r="Q79" s="81" t="s">
        <v>443</v>
      </c>
      <c r="R79" s="81" t="s">
        <v>411</v>
      </c>
      <c r="S79" s="81">
        <v>1959.06</v>
      </c>
      <c r="T79" s="81" t="s">
        <v>412</v>
      </c>
      <c r="U79" s="81"/>
    </row>
    <row r="80" spans="1:21" s="85" customFormat="1" x14ac:dyDescent="0.3">
      <c r="A80" s="86">
        <v>66</v>
      </c>
      <c r="B80" s="87">
        <v>0</v>
      </c>
      <c r="C80" s="87">
        <f t="shared" si="20"/>
        <v>0</v>
      </c>
      <c r="D80" s="87">
        <f>C80+2</f>
        <v>2</v>
      </c>
      <c r="E80" s="87">
        <f t="shared" si="14"/>
        <v>2</v>
      </c>
      <c r="F80" s="87">
        <f>E80+5</f>
        <v>7</v>
      </c>
      <c r="G80" s="87">
        <f>F80+8</f>
        <v>15</v>
      </c>
      <c r="H80" s="87">
        <f>G80+8</f>
        <v>23</v>
      </c>
      <c r="I80" s="87">
        <f>H80+8</f>
        <v>31</v>
      </c>
      <c r="J80" s="87">
        <f>I80+22</f>
        <v>53</v>
      </c>
      <c r="K80" s="87">
        <f>J80+5</f>
        <v>58</v>
      </c>
      <c r="L80" s="87">
        <f>K80+5</f>
        <v>63</v>
      </c>
      <c r="M80" s="87">
        <f>L80+2</f>
        <v>65</v>
      </c>
      <c r="N80" s="87">
        <f>M80+1</f>
        <v>66</v>
      </c>
      <c r="O80" s="81">
        <v>0</v>
      </c>
      <c r="P80" s="70">
        <v>1</v>
      </c>
      <c r="Q80" s="81" t="s">
        <v>451</v>
      </c>
      <c r="R80" s="81" t="s">
        <v>411</v>
      </c>
      <c r="S80" s="81">
        <v>1960</v>
      </c>
      <c r="T80" s="81" t="s">
        <v>412</v>
      </c>
      <c r="U80" s="81"/>
    </row>
    <row r="81" spans="1:21" s="85" customFormat="1" x14ac:dyDescent="0.3">
      <c r="A81" s="86">
        <v>66</v>
      </c>
      <c r="B81" s="87">
        <v>0</v>
      </c>
      <c r="C81" s="87">
        <f>B81+2</f>
        <v>2</v>
      </c>
      <c r="D81" s="87">
        <f>C81+0</f>
        <v>2</v>
      </c>
      <c r="E81" s="87">
        <f>D81+2</f>
        <v>4</v>
      </c>
      <c r="F81" s="87">
        <f>E81+4</f>
        <v>8</v>
      </c>
      <c r="G81" s="87">
        <f>F81+5</f>
        <v>13</v>
      </c>
      <c r="H81" s="87">
        <f>G81+11</f>
        <v>24</v>
      </c>
      <c r="I81" s="87">
        <f>H81+12</f>
        <v>36</v>
      </c>
      <c r="J81" s="87">
        <f>I81+18</f>
        <v>54</v>
      </c>
      <c r="K81" s="87">
        <f>J81+5</f>
        <v>59</v>
      </c>
      <c r="L81" s="87">
        <f>K81+6</f>
        <v>65</v>
      </c>
      <c r="M81" s="87">
        <f>L81+1</f>
        <v>66</v>
      </c>
      <c r="N81" s="87">
        <f>M81+0</f>
        <v>66</v>
      </c>
      <c r="O81" s="81">
        <v>0.1</v>
      </c>
      <c r="P81" s="70">
        <v>1</v>
      </c>
      <c r="Q81" s="81" t="s">
        <v>451</v>
      </c>
      <c r="R81" s="81" t="s">
        <v>411</v>
      </c>
      <c r="S81" s="81">
        <v>1960</v>
      </c>
      <c r="T81" s="81" t="s">
        <v>412</v>
      </c>
      <c r="U81" s="81"/>
    </row>
    <row r="82" spans="1:21" s="85" customFormat="1" x14ac:dyDescent="0.3">
      <c r="A82" s="86">
        <v>60</v>
      </c>
      <c r="B82" s="87">
        <v>0</v>
      </c>
      <c r="C82" s="87">
        <f>B82+0</f>
        <v>0</v>
      </c>
      <c r="D82" s="87">
        <f>C82+2</f>
        <v>2</v>
      </c>
      <c r="E82" s="87">
        <f>D82+1</f>
        <v>3</v>
      </c>
      <c r="F82" s="87">
        <f>E82+16</f>
        <v>19</v>
      </c>
      <c r="G82" s="87">
        <f>F82+2</f>
        <v>21</v>
      </c>
      <c r="H82" s="87">
        <f>G82+9</f>
        <v>30</v>
      </c>
      <c r="I82" s="87">
        <f>H82+5</f>
        <v>35</v>
      </c>
      <c r="J82" s="87">
        <f>I82+9</f>
        <v>44</v>
      </c>
      <c r="K82" s="87">
        <f>J82+8</f>
        <v>52</v>
      </c>
      <c r="L82" s="87">
        <f>K82+6</f>
        <v>58</v>
      </c>
      <c r="M82" s="87">
        <f>L82+2</f>
        <v>60</v>
      </c>
      <c r="N82" s="87">
        <f>M82+0</f>
        <v>60</v>
      </c>
      <c r="O82" s="81">
        <v>0</v>
      </c>
      <c r="P82" s="70">
        <v>2</v>
      </c>
      <c r="Q82" s="81" t="s">
        <v>451</v>
      </c>
      <c r="R82" s="81" t="s">
        <v>411</v>
      </c>
      <c r="S82" s="81">
        <v>1960</v>
      </c>
      <c r="T82" s="81" t="s">
        <v>412</v>
      </c>
      <c r="U82" s="81"/>
    </row>
    <row r="83" spans="1:21" s="85" customFormat="1" x14ac:dyDescent="0.3">
      <c r="A83" s="86">
        <v>60</v>
      </c>
      <c r="B83" s="87">
        <v>0</v>
      </c>
      <c r="C83" s="87">
        <f>B83+5</f>
        <v>5</v>
      </c>
      <c r="D83" s="87">
        <f>C83+1</f>
        <v>6</v>
      </c>
      <c r="E83" s="87">
        <f>D83+1</f>
        <v>7</v>
      </c>
      <c r="F83" s="87">
        <f>E83+8</f>
        <v>15</v>
      </c>
      <c r="G83" s="87">
        <f>F83+4</f>
        <v>19</v>
      </c>
      <c r="H83" s="87">
        <f>G83+11</f>
        <v>30</v>
      </c>
      <c r="I83" s="87">
        <f>H83+4</f>
        <v>34</v>
      </c>
      <c r="J83" s="87">
        <f>I83+9</f>
        <v>43</v>
      </c>
      <c r="K83" s="87">
        <f>J83+5</f>
        <v>48</v>
      </c>
      <c r="L83" s="87">
        <f>K83+10</f>
        <v>58</v>
      </c>
      <c r="M83" s="87">
        <f>L83+1</f>
        <v>59</v>
      </c>
      <c r="N83" s="87">
        <f>M83+1</f>
        <v>60</v>
      </c>
      <c r="O83" s="81">
        <v>0.1</v>
      </c>
      <c r="P83" s="70">
        <v>2</v>
      </c>
      <c r="Q83" s="81" t="s">
        <v>451</v>
      </c>
      <c r="R83" s="81" t="s">
        <v>411</v>
      </c>
      <c r="S83" s="81">
        <v>1960</v>
      </c>
      <c r="T83" s="81" t="s">
        <v>412</v>
      </c>
      <c r="U83" s="81"/>
    </row>
    <row r="84" spans="1:21" s="85" customFormat="1" x14ac:dyDescent="0.3">
      <c r="A84" s="86">
        <v>65</v>
      </c>
      <c r="B84" s="87">
        <v>0</v>
      </c>
      <c r="C84" s="87">
        <f>B84+11</f>
        <v>11</v>
      </c>
      <c r="D84" s="87">
        <f>C84+6</f>
        <v>17</v>
      </c>
      <c r="E84" s="87">
        <f>D84+6</f>
        <v>23</v>
      </c>
      <c r="F84" s="87">
        <f>E84+10</f>
        <v>33</v>
      </c>
      <c r="G84" s="87">
        <f>F84+5</f>
        <v>38</v>
      </c>
      <c r="H84" s="87">
        <f>G84+11</f>
        <v>49</v>
      </c>
      <c r="I84" s="87">
        <f>H84+6</f>
        <v>55</v>
      </c>
      <c r="J84" s="87">
        <f>I84+6</f>
        <v>61</v>
      </c>
      <c r="K84" s="87">
        <f>J84+1</f>
        <v>62</v>
      </c>
      <c r="L84" s="87">
        <f>K84+2</f>
        <v>64</v>
      </c>
      <c r="M84" s="87">
        <f>L84+1</f>
        <v>65</v>
      </c>
      <c r="N84" s="87">
        <f t="shared" ref="N84:N104" si="22">M84+0</f>
        <v>65</v>
      </c>
      <c r="O84" s="81">
        <v>0</v>
      </c>
      <c r="P84" s="70">
        <v>3</v>
      </c>
      <c r="Q84" s="81" t="s">
        <v>451</v>
      </c>
      <c r="R84" s="81" t="s">
        <v>411</v>
      </c>
      <c r="S84" s="81">
        <v>1960</v>
      </c>
      <c r="T84" s="81" t="s">
        <v>412</v>
      </c>
      <c r="U84" s="81"/>
    </row>
    <row r="85" spans="1:21" s="85" customFormat="1" x14ac:dyDescent="0.3">
      <c r="A85" s="86">
        <v>65</v>
      </c>
      <c r="B85" s="87">
        <v>0</v>
      </c>
      <c r="C85" s="87">
        <f>B85+17</f>
        <v>17</v>
      </c>
      <c r="D85" s="87">
        <f>C85+7</f>
        <v>24</v>
      </c>
      <c r="E85" s="87">
        <f>D85+1</f>
        <v>25</v>
      </c>
      <c r="F85" s="87">
        <f>E85+9</f>
        <v>34</v>
      </c>
      <c r="G85" s="87">
        <f>F85+4</f>
        <v>38</v>
      </c>
      <c r="H85" s="87">
        <f>G85+18</f>
        <v>56</v>
      </c>
      <c r="I85" s="87">
        <f>H85+5</f>
        <v>61</v>
      </c>
      <c r="J85" s="87">
        <f>I85+1</f>
        <v>62</v>
      </c>
      <c r="K85" s="87">
        <f>J85+1</f>
        <v>63</v>
      </c>
      <c r="L85" s="87">
        <f>K85+2</f>
        <v>65</v>
      </c>
      <c r="M85" s="87">
        <f>L85+0</f>
        <v>65</v>
      </c>
      <c r="N85" s="87">
        <f t="shared" si="22"/>
        <v>65</v>
      </c>
      <c r="O85" s="81">
        <v>0.1</v>
      </c>
      <c r="P85" s="70">
        <v>3</v>
      </c>
      <c r="Q85" s="81" t="s">
        <v>451</v>
      </c>
      <c r="R85" s="81" t="s">
        <v>411</v>
      </c>
      <c r="S85" s="81">
        <v>1960</v>
      </c>
      <c r="T85" s="81" t="s">
        <v>412</v>
      </c>
      <c r="U85" s="81"/>
    </row>
    <row r="86" spans="1:21" s="85" customFormat="1" x14ac:dyDescent="0.3">
      <c r="A86" s="86">
        <v>91</v>
      </c>
      <c r="B86" s="87">
        <v>19</v>
      </c>
      <c r="C86" s="87">
        <f t="shared" ref="C86:D94" si="23">B86+0</f>
        <v>19</v>
      </c>
      <c r="D86" s="87">
        <f t="shared" si="23"/>
        <v>19</v>
      </c>
      <c r="E86" s="87">
        <f>D86+10</f>
        <v>29</v>
      </c>
      <c r="F86" s="87">
        <f>E86+11</f>
        <v>40</v>
      </c>
      <c r="G86" s="87">
        <f>F86+10</f>
        <v>50</v>
      </c>
      <c r="H86" s="87">
        <f>G86+10</f>
        <v>60</v>
      </c>
      <c r="I86" s="87">
        <f>H86+19</f>
        <v>79</v>
      </c>
      <c r="J86" s="87">
        <f>I86+2</f>
        <v>81</v>
      </c>
      <c r="K86" s="87">
        <f>J86+7</f>
        <v>88</v>
      </c>
      <c r="L86" s="87">
        <f>K86+3</f>
        <v>91</v>
      </c>
      <c r="M86" s="87">
        <f>L86+0</f>
        <v>91</v>
      </c>
      <c r="N86" s="87">
        <f t="shared" si="22"/>
        <v>91</v>
      </c>
      <c r="O86" s="81">
        <v>2520</v>
      </c>
      <c r="P86" s="70">
        <v>1</v>
      </c>
      <c r="Q86" s="81" t="s">
        <v>233</v>
      </c>
      <c r="R86" s="81" t="s">
        <v>63</v>
      </c>
      <c r="S86" s="81">
        <v>1966</v>
      </c>
      <c r="T86" s="81" t="s">
        <v>231</v>
      </c>
      <c r="U86" s="81"/>
    </row>
    <row r="87" spans="1:21" s="85" customFormat="1" x14ac:dyDescent="0.3">
      <c r="A87" s="86">
        <v>91</v>
      </c>
      <c r="B87" s="87">
        <v>0</v>
      </c>
      <c r="C87" s="87">
        <f t="shared" si="23"/>
        <v>0</v>
      </c>
      <c r="D87" s="87">
        <f t="shared" si="23"/>
        <v>0</v>
      </c>
      <c r="E87" s="87">
        <f>D87+1</f>
        <v>1</v>
      </c>
      <c r="F87" s="87">
        <f>E87+2</f>
        <v>3</v>
      </c>
      <c r="G87" s="87">
        <f>F87+4</f>
        <v>7</v>
      </c>
      <c r="H87" s="87">
        <f>G87+7</f>
        <v>14</v>
      </c>
      <c r="I87" s="87">
        <f>H87+10</f>
        <v>24</v>
      </c>
      <c r="J87" s="87">
        <f>I87+10</f>
        <v>34</v>
      </c>
      <c r="K87" s="87">
        <f>J87+14</f>
        <v>48</v>
      </c>
      <c r="L87" s="87">
        <f>K87+40</f>
        <v>88</v>
      </c>
      <c r="M87" s="87">
        <f>L87+3</f>
        <v>91</v>
      </c>
      <c r="N87" s="87">
        <f t="shared" si="22"/>
        <v>91</v>
      </c>
      <c r="O87" s="81">
        <v>2548</v>
      </c>
      <c r="P87" s="70">
        <v>1</v>
      </c>
      <c r="Q87" s="81" t="s">
        <v>233</v>
      </c>
      <c r="R87" s="81" t="s">
        <v>63</v>
      </c>
      <c r="S87" s="81">
        <v>1966</v>
      </c>
      <c r="T87" s="81" t="s">
        <v>231</v>
      </c>
      <c r="U87" s="81"/>
    </row>
    <row r="88" spans="1:21" s="85" customFormat="1" x14ac:dyDescent="0.3">
      <c r="A88" s="86">
        <v>193</v>
      </c>
      <c r="B88" s="87">
        <v>57</v>
      </c>
      <c r="C88" s="87">
        <f t="shared" si="23"/>
        <v>57</v>
      </c>
      <c r="D88" s="87">
        <f t="shared" si="23"/>
        <v>57</v>
      </c>
      <c r="E88" s="87">
        <f t="shared" ref="E88:E94" si="24">D88+0</f>
        <v>57</v>
      </c>
      <c r="F88" s="87">
        <f>E88+52</f>
        <v>109</v>
      </c>
      <c r="G88" s="87">
        <f t="shared" ref="G88:G93" si="25">F88+0</f>
        <v>109</v>
      </c>
      <c r="H88" s="87">
        <f>G88+51</f>
        <v>160</v>
      </c>
      <c r="I88" s="87">
        <f t="shared" ref="I88:I93" si="26">H88+0</f>
        <v>160</v>
      </c>
      <c r="J88" s="87">
        <f>I88+33</f>
        <v>193</v>
      </c>
      <c r="K88" s="87">
        <f>J88+0</f>
        <v>193</v>
      </c>
      <c r="L88" s="87">
        <f>K88+0</f>
        <v>193</v>
      </c>
      <c r="M88" s="87">
        <f>L88+0</f>
        <v>193</v>
      </c>
      <c r="N88" s="87">
        <f t="shared" si="22"/>
        <v>193</v>
      </c>
      <c r="O88" s="81">
        <v>2520</v>
      </c>
      <c r="P88" s="70">
        <v>1</v>
      </c>
      <c r="Q88" s="81" t="s">
        <v>225</v>
      </c>
      <c r="R88" s="81" t="s">
        <v>63</v>
      </c>
      <c r="S88" s="81">
        <v>1969</v>
      </c>
      <c r="T88" s="81" t="s">
        <v>64</v>
      </c>
      <c r="U88" s="81"/>
    </row>
    <row r="89" spans="1:21" s="85" customFormat="1" x14ac:dyDescent="0.3">
      <c r="A89" s="86">
        <v>180</v>
      </c>
      <c r="B89" s="87">
        <v>5</v>
      </c>
      <c r="C89" s="87">
        <f t="shared" si="23"/>
        <v>5</v>
      </c>
      <c r="D89" s="87">
        <f t="shared" si="23"/>
        <v>5</v>
      </c>
      <c r="E89" s="87">
        <f t="shared" si="24"/>
        <v>5</v>
      </c>
      <c r="F89" s="87">
        <f>E89+26</f>
        <v>31</v>
      </c>
      <c r="G89" s="87">
        <f t="shared" si="25"/>
        <v>31</v>
      </c>
      <c r="H89" s="87">
        <f>G89+57</f>
        <v>88</v>
      </c>
      <c r="I89" s="87">
        <f t="shared" si="26"/>
        <v>88</v>
      </c>
      <c r="J89" s="87">
        <f>I89+63</f>
        <v>151</v>
      </c>
      <c r="K89" s="87">
        <f>J89+0</f>
        <v>151</v>
      </c>
      <c r="L89" s="87">
        <f>K89+29</f>
        <v>180</v>
      </c>
      <c r="M89" s="87">
        <f>L89+0</f>
        <v>180</v>
      </c>
      <c r="N89" s="87">
        <f t="shared" si="22"/>
        <v>180</v>
      </c>
      <c r="O89" s="81">
        <v>2576</v>
      </c>
      <c r="P89" s="70">
        <v>1</v>
      </c>
      <c r="Q89" s="81" t="s">
        <v>225</v>
      </c>
      <c r="R89" s="81" t="s">
        <v>63</v>
      </c>
      <c r="S89" s="81">
        <v>1969</v>
      </c>
      <c r="T89" s="81" t="s">
        <v>64</v>
      </c>
      <c r="U89" s="81"/>
    </row>
    <row r="90" spans="1:21" s="85" customFormat="1" x14ac:dyDescent="0.3">
      <c r="A90" s="86">
        <v>193</v>
      </c>
      <c r="B90" s="87">
        <v>7</v>
      </c>
      <c r="C90" s="87">
        <f t="shared" si="23"/>
        <v>7</v>
      </c>
      <c r="D90" s="87">
        <f t="shared" si="23"/>
        <v>7</v>
      </c>
      <c r="E90" s="87">
        <f t="shared" si="24"/>
        <v>7</v>
      </c>
      <c r="F90" s="87">
        <f>E90+35</f>
        <v>42</v>
      </c>
      <c r="G90" s="87">
        <f t="shared" si="25"/>
        <v>42</v>
      </c>
      <c r="H90" s="87">
        <f>G90+80</f>
        <v>122</v>
      </c>
      <c r="I90" s="87">
        <f t="shared" si="26"/>
        <v>122</v>
      </c>
      <c r="J90" s="87">
        <f>I90+71</f>
        <v>193</v>
      </c>
      <c r="K90" s="87">
        <f>J90+0</f>
        <v>193</v>
      </c>
      <c r="L90" s="87">
        <f>K90+0</f>
        <v>193</v>
      </c>
      <c r="M90" s="87">
        <f>L90+0</f>
        <v>193</v>
      </c>
      <c r="N90" s="87">
        <f t="shared" si="22"/>
        <v>193</v>
      </c>
      <c r="O90" s="81">
        <v>2520</v>
      </c>
      <c r="P90" s="70">
        <v>2</v>
      </c>
      <c r="Q90" s="81" t="s">
        <v>225</v>
      </c>
      <c r="R90" s="81" t="s">
        <v>63</v>
      </c>
      <c r="S90" s="81">
        <v>1969</v>
      </c>
      <c r="T90" s="81" t="s">
        <v>64</v>
      </c>
      <c r="U90" s="81"/>
    </row>
    <row r="91" spans="1:21" s="85" customFormat="1" x14ac:dyDescent="0.3">
      <c r="A91" s="86">
        <v>180</v>
      </c>
      <c r="B91" s="87">
        <v>0</v>
      </c>
      <c r="C91" s="87">
        <f t="shared" si="23"/>
        <v>0</v>
      </c>
      <c r="D91" s="87">
        <f t="shared" si="23"/>
        <v>0</v>
      </c>
      <c r="E91" s="87">
        <f t="shared" si="24"/>
        <v>0</v>
      </c>
      <c r="F91" s="87">
        <f>E91+1</f>
        <v>1</v>
      </c>
      <c r="G91" s="87">
        <f t="shared" si="25"/>
        <v>1</v>
      </c>
      <c r="H91" s="87">
        <f>G91+5</f>
        <v>6</v>
      </c>
      <c r="I91" s="87">
        <f t="shared" si="26"/>
        <v>6</v>
      </c>
      <c r="J91" s="87">
        <f>I91+29</f>
        <v>35</v>
      </c>
      <c r="K91" s="87">
        <f>J91+0</f>
        <v>35</v>
      </c>
      <c r="L91" s="87">
        <f>K91+145</f>
        <v>180</v>
      </c>
      <c r="M91" s="87">
        <f>L91+0</f>
        <v>180</v>
      </c>
      <c r="N91" s="87">
        <f t="shared" si="22"/>
        <v>180</v>
      </c>
      <c r="O91" s="81">
        <v>2576</v>
      </c>
      <c r="P91" s="70">
        <v>2</v>
      </c>
      <c r="Q91" s="81" t="s">
        <v>225</v>
      </c>
      <c r="R91" s="81" t="s">
        <v>63</v>
      </c>
      <c r="S91" s="81">
        <v>1969</v>
      </c>
      <c r="T91" s="81" t="s">
        <v>64</v>
      </c>
      <c r="U91" s="81"/>
    </row>
    <row r="92" spans="1:21" s="85" customFormat="1" x14ac:dyDescent="0.3">
      <c r="A92" s="86">
        <v>193</v>
      </c>
      <c r="B92" s="87">
        <v>90</v>
      </c>
      <c r="C92" s="87">
        <f t="shared" si="23"/>
        <v>90</v>
      </c>
      <c r="D92" s="87">
        <f t="shared" si="23"/>
        <v>90</v>
      </c>
      <c r="E92" s="87">
        <f t="shared" si="24"/>
        <v>90</v>
      </c>
      <c r="F92" s="87">
        <f>E92+46</f>
        <v>136</v>
      </c>
      <c r="G92" s="87">
        <f t="shared" si="25"/>
        <v>136</v>
      </c>
      <c r="H92" s="87">
        <f>G92+41</f>
        <v>177</v>
      </c>
      <c r="I92" s="87">
        <f t="shared" si="26"/>
        <v>177</v>
      </c>
      <c r="J92" s="87">
        <f>I92+16</f>
        <v>193</v>
      </c>
      <c r="K92" s="87">
        <f>J92+0</f>
        <v>193</v>
      </c>
      <c r="L92" s="87">
        <f>K92+0</f>
        <v>193</v>
      </c>
      <c r="M92" s="87">
        <f>L92+0</f>
        <v>193</v>
      </c>
      <c r="N92" s="87">
        <f t="shared" si="22"/>
        <v>193</v>
      </c>
      <c r="O92" s="81">
        <v>2520</v>
      </c>
      <c r="P92" s="70">
        <v>3</v>
      </c>
      <c r="Q92" s="81" t="s">
        <v>225</v>
      </c>
      <c r="R92" s="81" t="s">
        <v>63</v>
      </c>
      <c r="S92" s="81">
        <v>1969</v>
      </c>
      <c r="T92" s="81" t="s">
        <v>64</v>
      </c>
      <c r="U92" s="81"/>
    </row>
    <row r="93" spans="1:21" s="85" customFormat="1" x14ac:dyDescent="0.3">
      <c r="A93" s="86">
        <v>180</v>
      </c>
      <c r="B93" s="87">
        <v>13</v>
      </c>
      <c r="C93" s="87">
        <f t="shared" si="23"/>
        <v>13</v>
      </c>
      <c r="D93" s="87">
        <f t="shared" si="23"/>
        <v>13</v>
      </c>
      <c r="E93" s="87">
        <f t="shared" si="24"/>
        <v>13</v>
      </c>
      <c r="F93" s="87">
        <f>E93+17</f>
        <v>30</v>
      </c>
      <c r="G93" s="87">
        <f t="shared" si="25"/>
        <v>30</v>
      </c>
      <c r="H93" s="87">
        <f>G93+53</f>
        <v>83</v>
      </c>
      <c r="I93" s="87">
        <f t="shared" si="26"/>
        <v>83</v>
      </c>
      <c r="J93" s="87">
        <f>I93+71</f>
        <v>154</v>
      </c>
      <c r="K93" s="87">
        <f>J93+0</f>
        <v>154</v>
      </c>
      <c r="L93" s="87">
        <f>K93+26</f>
        <v>180</v>
      </c>
      <c r="M93" s="87">
        <f>L93+0</f>
        <v>180</v>
      </c>
      <c r="N93" s="87">
        <f t="shared" si="22"/>
        <v>180</v>
      </c>
      <c r="O93" s="81">
        <v>2576</v>
      </c>
      <c r="P93" s="70">
        <v>3</v>
      </c>
      <c r="Q93" s="81" t="s">
        <v>225</v>
      </c>
      <c r="R93" s="81" t="s">
        <v>63</v>
      </c>
      <c r="S93" s="81">
        <v>1969</v>
      </c>
      <c r="T93" s="81" t="s">
        <v>64</v>
      </c>
      <c r="U93" s="81"/>
    </row>
    <row r="94" spans="1:21" s="85" customFormat="1" x14ac:dyDescent="0.3">
      <c r="A94" s="86">
        <v>34</v>
      </c>
      <c r="B94" s="87">
        <v>5</v>
      </c>
      <c r="C94" s="87">
        <f t="shared" si="23"/>
        <v>5</v>
      </c>
      <c r="D94" s="87">
        <f t="shared" si="23"/>
        <v>5</v>
      </c>
      <c r="E94" s="87">
        <f t="shared" si="24"/>
        <v>5</v>
      </c>
      <c r="F94" s="87">
        <f>E94+1</f>
        <v>6</v>
      </c>
      <c r="G94" s="87">
        <f>F94+3</f>
        <v>9</v>
      </c>
      <c r="H94" s="87">
        <f>G94+5</f>
        <v>14</v>
      </c>
      <c r="I94" s="87">
        <f>H94+6</f>
        <v>20</v>
      </c>
      <c r="J94" s="87">
        <f>I94+2</f>
        <v>22</v>
      </c>
      <c r="K94" s="87">
        <f>J94+4</f>
        <v>26</v>
      </c>
      <c r="L94" s="87">
        <f>K94+4</f>
        <v>30</v>
      </c>
      <c r="M94" s="87">
        <f>L94+4</f>
        <v>34</v>
      </c>
      <c r="N94" s="87">
        <f t="shared" si="22"/>
        <v>34</v>
      </c>
      <c r="O94" s="81">
        <v>14000</v>
      </c>
      <c r="P94" s="70">
        <v>1</v>
      </c>
      <c r="Q94" s="81" t="s">
        <v>97</v>
      </c>
      <c r="R94" s="81" t="s">
        <v>98</v>
      </c>
      <c r="S94" s="81">
        <v>1961</v>
      </c>
      <c r="T94" s="81" t="s">
        <v>99</v>
      </c>
      <c r="U94" s="81"/>
    </row>
    <row r="95" spans="1:21" s="85" customFormat="1" x14ac:dyDescent="0.3">
      <c r="A95" s="86">
        <v>34</v>
      </c>
      <c r="B95" s="87">
        <v>0</v>
      </c>
      <c r="C95" s="87">
        <f t="shared" ref="C95:C126" si="27">B95+0</f>
        <v>0</v>
      </c>
      <c r="D95" s="87">
        <f>C95+1</f>
        <v>1</v>
      </c>
      <c r="E95" s="87">
        <f>D95+1</f>
        <v>2</v>
      </c>
      <c r="F95" s="87">
        <f>E95+1</f>
        <v>3</v>
      </c>
      <c r="G95" s="87">
        <f>F95+2</f>
        <v>5</v>
      </c>
      <c r="H95" s="87">
        <f>G95+3</f>
        <v>8</v>
      </c>
      <c r="I95" s="87">
        <f>H95+4</f>
        <v>12</v>
      </c>
      <c r="J95" s="87">
        <f>I95+5</f>
        <v>17</v>
      </c>
      <c r="K95" s="87">
        <f>J95+6</f>
        <v>23</v>
      </c>
      <c r="L95" s="87">
        <f>K95+5</f>
        <v>28</v>
      </c>
      <c r="M95" s="87">
        <f>L95+6</f>
        <v>34</v>
      </c>
      <c r="N95" s="87">
        <f t="shared" si="22"/>
        <v>34</v>
      </c>
      <c r="O95" s="81">
        <v>14028</v>
      </c>
      <c r="P95" s="70">
        <v>1</v>
      </c>
      <c r="Q95" s="81" t="s">
        <v>97</v>
      </c>
      <c r="R95" s="81" t="s">
        <v>98</v>
      </c>
      <c r="S95" s="81">
        <v>1961</v>
      </c>
      <c r="T95" s="81" t="s">
        <v>99</v>
      </c>
      <c r="U95" s="81"/>
    </row>
    <row r="96" spans="1:21" s="85" customFormat="1" x14ac:dyDescent="0.3">
      <c r="A96" s="86">
        <v>33</v>
      </c>
      <c r="B96" s="87">
        <v>7</v>
      </c>
      <c r="C96" s="87">
        <f t="shared" si="27"/>
        <v>7</v>
      </c>
      <c r="D96" s="87">
        <f t="shared" ref="D96:E99" si="28">C96+0</f>
        <v>7</v>
      </c>
      <c r="E96" s="87">
        <f t="shared" si="28"/>
        <v>7</v>
      </c>
      <c r="F96" s="87">
        <f>E96+1</f>
        <v>8</v>
      </c>
      <c r="G96" s="87">
        <f>F96+3</f>
        <v>11</v>
      </c>
      <c r="H96" s="87">
        <f>G96+2</f>
        <v>13</v>
      </c>
      <c r="I96" s="87">
        <f>H96+3</f>
        <v>16</v>
      </c>
      <c r="J96" s="87">
        <f>I96+2</f>
        <v>18</v>
      </c>
      <c r="K96" s="87">
        <f>J96+6</f>
        <v>24</v>
      </c>
      <c r="L96" s="87">
        <f>K96+3</f>
        <v>27</v>
      </c>
      <c r="M96" s="87">
        <f>L96+6</f>
        <v>33</v>
      </c>
      <c r="N96" s="87">
        <f t="shared" si="22"/>
        <v>33</v>
      </c>
      <c r="O96" s="81">
        <v>14119</v>
      </c>
      <c r="P96" s="70">
        <v>2</v>
      </c>
      <c r="Q96" s="81" t="s">
        <v>97</v>
      </c>
      <c r="R96" s="81" t="s">
        <v>98</v>
      </c>
      <c r="S96" s="81">
        <v>1961</v>
      </c>
      <c r="T96" s="81" t="s">
        <v>99</v>
      </c>
      <c r="U96" s="81"/>
    </row>
    <row r="97" spans="1:21" s="85" customFormat="1" x14ac:dyDescent="0.3">
      <c r="A97" s="86">
        <v>33</v>
      </c>
      <c r="B97" s="87">
        <v>2</v>
      </c>
      <c r="C97" s="87">
        <f t="shared" si="27"/>
        <v>2</v>
      </c>
      <c r="D97" s="87">
        <f t="shared" si="28"/>
        <v>2</v>
      </c>
      <c r="E97" s="87">
        <f t="shared" si="28"/>
        <v>2</v>
      </c>
      <c r="F97" s="87">
        <f>E97+0</f>
        <v>2</v>
      </c>
      <c r="G97" s="87">
        <f>F97+2</f>
        <v>4</v>
      </c>
      <c r="H97" s="87">
        <f>G97+1</f>
        <v>5</v>
      </c>
      <c r="I97" s="87">
        <f>H97+4</f>
        <v>9</v>
      </c>
      <c r="J97" s="87">
        <f>I97+5</f>
        <v>14</v>
      </c>
      <c r="K97" s="87">
        <f>J97+4</f>
        <v>18</v>
      </c>
      <c r="L97" s="87">
        <f>K97+9</f>
        <v>27</v>
      </c>
      <c r="M97" s="87">
        <f>L97+6</f>
        <v>33</v>
      </c>
      <c r="N97" s="87">
        <f t="shared" si="22"/>
        <v>33</v>
      </c>
      <c r="O97" s="81">
        <v>14147</v>
      </c>
      <c r="P97" s="70">
        <v>2</v>
      </c>
      <c r="Q97" s="81" t="s">
        <v>97</v>
      </c>
      <c r="R97" s="81" t="s">
        <v>98</v>
      </c>
      <c r="S97" s="81">
        <v>1961</v>
      </c>
      <c r="T97" s="81" t="s">
        <v>99</v>
      </c>
      <c r="U97" s="81"/>
    </row>
    <row r="98" spans="1:21" s="85" customFormat="1" x14ac:dyDescent="0.3">
      <c r="A98" s="86">
        <v>35</v>
      </c>
      <c r="B98" s="87">
        <v>4</v>
      </c>
      <c r="C98" s="87">
        <f t="shared" si="27"/>
        <v>4</v>
      </c>
      <c r="D98" s="87">
        <f t="shared" si="28"/>
        <v>4</v>
      </c>
      <c r="E98" s="87">
        <f t="shared" si="28"/>
        <v>4</v>
      </c>
      <c r="F98" s="87">
        <f>E98+0</f>
        <v>4</v>
      </c>
      <c r="G98" s="87">
        <f>F98+4</f>
        <v>8</v>
      </c>
      <c r="H98" s="87">
        <f>G98+3</f>
        <v>11</v>
      </c>
      <c r="I98" s="87">
        <f>H98+1</f>
        <v>12</v>
      </c>
      <c r="J98" s="87">
        <f>I98+5</f>
        <v>17</v>
      </c>
      <c r="K98" s="87">
        <f>J98+7</f>
        <v>24</v>
      </c>
      <c r="L98" s="87">
        <f>K98+5</f>
        <v>29</v>
      </c>
      <c r="M98" s="87">
        <f>L98+6</f>
        <v>35</v>
      </c>
      <c r="N98" s="87">
        <f t="shared" si="22"/>
        <v>35</v>
      </c>
      <c r="O98" s="81">
        <v>14147</v>
      </c>
      <c r="P98" s="70">
        <v>3</v>
      </c>
      <c r="Q98" s="81" t="s">
        <v>97</v>
      </c>
      <c r="R98" s="81" t="s">
        <v>98</v>
      </c>
      <c r="S98" s="81">
        <v>1961</v>
      </c>
      <c r="T98" s="81" t="s">
        <v>99</v>
      </c>
      <c r="U98" s="81"/>
    </row>
    <row r="99" spans="1:21" s="85" customFormat="1" x14ac:dyDescent="0.3">
      <c r="A99" s="86">
        <v>35</v>
      </c>
      <c r="B99" s="87">
        <v>0</v>
      </c>
      <c r="C99" s="87">
        <f t="shared" si="27"/>
        <v>0</v>
      </c>
      <c r="D99" s="87">
        <f t="shared" si="28"/>
        <v>0</v>
      </c>
      <c r="E99" s="87">
        <f t="shared" si="28"/>
        <v>0</v>
      </c>
      <c r="F99" s="87">
        <f>E99+2</f>
        <v>2</v>
      </c>
      <c r="G99" s="87">
        <f>F99+1</f>
        <v>3</v>
      </c>
      <c r="H99" s="87">
        <f>G99+2</f>
        <v>5</v>
      </c>
      <c r="I99" s="87">
        <f>H99+5</f>
        <v>10</v>
      </c>
      <c r="J99" s="87">
        <f>I99+4</f>
        <v>14</v>
      </c>
      <c r="K99" s="87">
        <f>J99+6</f>
        <v>20</v>
      </c>
      <c r="L99" s="87">
        <f>K99+9</f>
        <v>29</v>
      </c>
      <c r="M99" s="87">
        <f>L99+6</f>
        <v>35</v>
      </c>
      <c r="N99" s="87">
        <f t="shared" si="22"/>
        <v>35</v>
      </c>
      <c r="O99" s="81">
        <v>14175</v>
      </c>
      <c r="P99" s="70">
        <v>3</v>
      </c>
      <c r="Q99" s="81" t="s">
        <v>97</v>
      </c>
      <c r="R99" s="81" t="s">
        <v>98</v>
      </c>
      <c r="S99" s="81">
        <v>1961</v>
      </c>
      <c r="T99" s="81" t="s">
        <v>99</v>
      </c>
      <c r="U99" s="81"/>
    </row>
    <row r="100" spans="1:21" s="85" customFormat="1" x14ac:dyDescent="0.3">
      <c r="A100" s="86">
        <v>10</v>
      </c>
      <c r="B100" s="87">
        <v>3.1372549019607843</v>
      </c>
      <c r="C100" s="87">
        <f t="shared" si="27"/>
        <v>3.1372549019607843</v>
      </c>
      <c r="D100" s="87">
        <f t="shared" ref="D100:D111" si="29">C100+0</f>
        <v>3.1372549019607843</v>
      </c>
      <c r="E100" s="87">
        <f>D100+10*7/51</f>
        <v>4.5098039215686274</v>
      </c>
      <c r="F100" s="87">
        <f>E100+10*7/51</f>
        <v>5.882352941176471</v>
      </c>
      <c r="G100" s="87">
        <f>F100+10*2/51</f>
        <v>6.2745098039215694</v>
      </c>
      <c r="H100" s="87">
        <f>G100+10*10/51</f>
        <v>8.2352941176470598</v>
      </c>
      <c r="I100" s="87">
        <f>H100+10*7/51</f>
        <v>9.6078431372549034</v>
      </c>
      <c r="J100" s="87">
        <f>I100+10*2/51</f>
        <v>10.000000000000002</v>
      </c>
      <c r="K100" s="87">
        <f t="shared" ref="K100:M104" si="30">J100+0</f>
        <v>10.000000000000002</v>
      </c>
      <c r="L100" s="87">
        <f t="shared" si="30"/>
        <v>10.000000000000002</v>
      </c>
      <c r="M100" s="87">
        <f t="shared" si="30"/>
        <v>10.000000000000002</v>
      </c>
      <c r="N100" s="87">
        <f t="shared" si="22"/>
        <v>10.000000000000002</v>
      </c>
      <c r="O100" s="81">
        <v>180</v>
      </c>
      <c r="P100" s="70">
        <v>1</v>
      </c>
      <c r="Q100" s="81" t="s">
        <v>171</v>
      </c>
      <c r="R100" s="81" t="s">
        <v>166</v>
      </c>
      <c r="S100" s="81">
        <v>1966</v>
      </c>
      <c r="T100" s="81" t="s">
        <v>208</v>
      </c>
      <c r="U100" s="81" t="s">
        <v>284</v>
      </c>
    </row>
    <row r="101" spans="1:21" s="85" customFormat="1" x14ac:dyDescent="0.3">
      <c r="A101" s="86">
        <v>8</v>
      </c>
      <c r="B101" s="87">
        <v>2.5098039215686274</v>
      </c>
      <c r="C101" s="87">
        <f t="shared" si="27"/>
        <v>2.5098039215686274</v>
      </c>
      <c r="D101" s="87">
        <f t="shared" si="29"/>
        <v>2.5098039215686274</v>
      </c>
      <c r="E101" s="87">
        <f>D101+8*7/51</f>
        <v>3.607843137254902</v>
      </c>
      <c r="F101" s="87">
        <f>E101+8*7/51</f>
        <v>4.7058823529411766</v>
      </c>
      <c r="G101" s="87">
        <f>F101+8*2/51</f>
        <v>5.0196078431372548</v>
      </c>
      <c r="H101" s="87">
        <f>G101+8*10/51</f>
        <v>6.5882352941176467</v>
      </c>
      <c r="I101" s="87">
        <f>H101+8*7/51</f>
        <v>7.6862745098039209</v>
      </c>
      <c r="J101" s="87">
        <f>I101+8*2/51</f>
        <v>7.9999999999999991</v>
      </c>
      <c r="K101" s="87">
        <f t="shared" si="30"/>
        <v>7.9999999999999991</v>
      </c>
      <c r="L101" s="87">
        <f t="shared" si="30"/>
        <v>7.9999999999999991</v>
      </c>
      <c r="M101" s="87">
        <f t="shared" si="30"/>
        <v>7.9999999999999991</v>
      </c>
      <c r="N101" s="87">
        <f t="shared" si="22"/>
        <v>7.9999999999999991</v>
      </c>
      <c r="O101" s="81">
        <v>180</v>
      </c>
      <c r="P101" s="70">
        <v>1</v>
      </c>
      <c r="Q101" s="81" t="s">
        <v>170</v>
      </c>
      <c r="R101" s="81" t="s">
        <v>166</v>
      </c>
      <c r="S101" s="81">
        <v>1966</v>
      </c>
      <c r="T101" s="81" t="s">
        <v>208</v>
      </c>
      <c r="U101" s="81" t="s">
        <v>284</v>
      </c>
    </row>
    <row r="102" spans="1:21" s="85" customFormat="1" x14ac:dyDescent="0.3">
      <c r="A102" s="86">
        <v>11</v>
      </c>
      <c r="B102" s="87">
        <v>3.4509803921568629</v>
      </c>
      <c r="C102" s="87">
        <f t="shared" si="27"/>
        <v>3.4509803921568629</v>
      </c>
      <c r="D102" s="87">
        <f t="shared" si="29"/>
        <v>3.4509803921568629</v>
      </c>
      <c r="E102" s="87">
        <f>D102+11*7/51</f>
        <v>4.9607843137254903</v>
      </c>
      <c r="F102" s="87">
        <f>E102+11*7/51</f>
        <v>6.4705882352941178</v>
      </c>
      <c r="G102" s="87">
        <f>F102+11*2/51</f>
        <v>6.9019607843137258</v>
      </c>
      <c r="H102" s="87">
        <f>G102+11*10/51</f>
        <v>9.0588235294117645</v>
      </c>
      <c r="I102" s="87">
        <f>H102+11*7/51</f>
        <v>10.568627450980392</v>
      </c>
      <c r="J102" s="87">
        <f>I102+11*2/51</f>
        <v>11</v>
      </c>
      <c r="K102" s="87">
        <f t="shared" si="30"/>
        <v>11</v>
      </c>
      <c r="L102" s="87">
        <f t="shared" si="30"/>
        <v>11</v>
      </c>
      <c r="M102" s="87">
        <f t="shared" si="30"/>
        <v>11</v>
      </c>
      <c r="N102" s="87">
        <f t="shared" si="22"/>
        <v>11</v>
      </c>
      <c r="O102" s="81">
        <v>180</v>
      </c>
      <c r="P102" s="70">
        <v>1</v>
      </c>
      <c r="Q102" s="81" t="s">
        <v>169</v>
      </c>
      <c r="R102" s="81" t="s">
        <v>166</v>
      </c>
      <c r="S102" s="81">
        <v>1966</v>
      </c>
      <c r="T102" s="81" t="s">
        <v>208</v>
      </c>
      <c r="U102" s="81" t="s">
        <v>284</v>
      </c>
    </row>
    <row r="103" spans="1:21" s="85" customFormat="1" x14ac:dyDescent="0.3">
      <c r="A103" s="86">
        <v>10</v>
      </c>
      <c r="B103" s="87">
        <v>3.1372549019607843</v>
      </c>
      <c r="C103" s="87">
        <f t="shared" si="27"/>
        <v>3.1372549019607843</v>
      </c>
      <c r="D103" s="87">
        <f t="shared" si="29"/>
        <v>3.1372549019607843</v>
      </c>
      <c r="E103" s="87">
        <f>D103+10*7/51</f>
        <v>4.5098039215686274</v>
      </c>
      <c r="F103" s="87">
        <f>E103+10*7/51</f>
        <v>5.882352941176471</v>
      </c>
      <c r="G103" s="87">
        <f>F103+10*2/51</f>
        <v>6.2745098039215694</v>
      </c>
      <c r="H103" s="87">
        <f>G103+10*10/51</f>
        <v>8.2352941176470598</v>
      </c>
      <c r="I103" s="87">
        <f>H103+10*7/51</f>
        <v>9.6078431372549034</v>
      </c>
      <c r="J103" s="87">
        <f>I103+10*2/51</f>
        <v>10.000000000000002</v>
      </c>
      <c r="K103" s="87">
        <f t="shared" si="30"/>
        <v>10.000000000000002</v>
      </c>
      <c r="L103" s="87">
        <f t="shared" si="30"/>
        <v>10.000000000000002</v>
      </c>
      <c r="M103" s="87">
        <f t="shared" si="30"/>
        <v>10.000000000000002</v>
      </c>
      <c r="N103" s="87">
        <f t="shared" si="22"/>
        <v>10.000000000000002</v>
      </c>
      <c r="O103" s="81">
        <v>180</v>
      </c>
      <c r="P103" s="70">
        <v>1</v>
      </c>
      <c r="Q103" s="81" t="s">
        <v>168</v>
      </c>
      <c r="R103" s="81" t="s">
        <v>166</v>
      </c>
      <c r="S103" s="81">
        <v>1966</v>
      </c>
      <c r="T103" s="81" t="s">
        <v>208</v>
      </c>
      <c r="U103" s="81" t="s">
        <v>284</v>
      </c>
    </row>
    <row r="104" spans="1:21" s="85" customFormat="1" x14ac:dyDescent="0.3">
      <c r="A104" s="86">
        <v>9</v>
      </c>
      <c r="B104" s="87">
        <v>2.8235294117647061</v>
      </c>
      <c r="C104" s="87">
        <f t="shared" si="27"/>
        <v>2.8235294117647061</v>
      </c>
      <c r="D104" s="87">
        <f t="shared" si="29"/>
        <v>2.8235294117647061</v>
      </c>
      <c r="E104" s="87">
        <f>D104+9*7/51</f>
        <v>4.0588235294117645</v>
      </c>
      <c r="F104" s="87">
        <f>E104+9*7/51</f>
        <v>5.2941176470588234</v>
      </c>
      <c r="G104" s="87">
        <f>F104+9*2/51</f>
        <v>5.6470588235294112</v>
      </c>
      <c r="H104" s="87">
        <f>G104+9*10/51</f>
        <v>7.4117647058823524</v>
      </c>
      <c r="I104" s="87">
        <f>H104+9*7/51</f>
        <v>8.6470588235294112</v>
      </c>
      <c r="J104" s="87">
        <f>I104+9*2/51</f>
        <v>9</v>
      </c>
      <c r="K104" s="87">
        <f t="shared" si="30"/>
        <v>9</v>
      </c>
      <c r="L104" s="87">
        <f t="shared" si="30"/>
        <v>9</v>
      </c>
      <c r="M104" s="87">
        <f t="shared" si="30"/>
        <v>9</v>
      </c>
      <c r="N104" s="87">
        <f t="shared" si="22"/>
        <v>9</v>
      </c>
      <c r="O104" s="81">
        <v>180</v>
      </c>
      <c r="P104" s="70">
        <v>1</v>
      </c>
      <c r="Q104" s="81" t="s">
        <v>167</v>
      </c>
      <c r="R104" s="81" t="s">
        <v>166</v>
      </c>
      <c r="S104" s="81">
        <v>1966</v>
      </c>
      <c r="T104" s="81" t="s">
        <v>208</v>
      </c>
      <c r="U104" s="81" t="s">
        <v>284</v>
      </c>
    </row>
    <row r="105" spans="1:21" s="85" customFormat="1" x14ac:dyDescent="0.3">
      <c r="A105" s="86">
        <v>9</v>
      </c>
      <c r="B105" s="87">
        <v>0.16071428571428573</v>
      </c>
      <c r="C105" s="87">
        <f t="shared" si="27"/>
        <v>0.16071428571428573</v>
      </c>
      <c r="D105" s="87">
        <f t="shared" si="29"/>
        <v>0.16071428571428573</v>
      </c>
      <c r="E105" s="87">
        <f>D105+9*2/56</f>
        <v>0.48214285714285721</v>
      </c>
      <c r="F105" s="87">
        <f>E105+9*10/56</f>
        <v>2.0892857142857144</v>
      </c>
      <c r="G105" s="87">
        <f>F105+9*3/56</f>
        <v>2.5714285714285716</v>
      </c>
      <c r="H105" s="87">
        <f>G105+9*1/56</f>
        <v>2.7321428571428572</v>
      </c>
      <c r="I105" s="87">
        <f>H105+9*0</f>
        <v>2.7321428571428572</v>
      </c>
      <c r="J105" s="87">
        <f>I105+9*2/56</f>
        <v>3.0535714285714288</v>
      </c>
      <c r="K105" s="87">
        <f>J105+9*13/56</f>
        <v>5.1428571428571432</v>
      </c>
      <c r="L105" s="87">
        <f>K105+9*6/56</f>
        <v>6.1071428571428577</v>
      </c>
      <c r="M105" s="87">
        <f>L105+9*11/56</f>
        <v>7.875</v>
      </c>
      <c r="N105" s="87">
        <f>M105+9*7/56</f>
        <v>9</v>
      </c>
      <c r="O105" s="81">
        <v>480</v>
      </c>
      <c r="P105" s="70">
        <v>1</v>
      </c>
      <c r="Q105" s="81" t="s">
        <v>285</v>
      </c>
      <c r="R105" s="81" t="s">
        <v>166</v>
      </c>
      <c r="S105" s="81">
        <v>1966</v>
      </c>
      <c r="T105" s="81" t="s">
        <v>208</v>
      </c>
      <c r="U105" s="81" t="s">
        <v>284</v>
      </c>
    </row>
    <row r="106" spans="1:21" s="85" customFormat="1" x14ac:dyDescent="0.3">
      <c r="A106" s="86">
        <v>8</v>
      </c>
      <c r="B106" s="87">
        <v>0.14285714285714285</v>
      </c>
      <c r="C106" s="87">
        <f t="shared" si="27"/>
        <v>0.14285714285714285</v>
      </c>
      <c r="D106" s="87">
        <f t="shared" si="29"/>
        <v>0.14285714285714285</v>
      </c>
      <c r="E106" s="87">
        <f>D106+8*2/56</f>
        <v>0.42857142857142855</v>
      </c>
      <c r="F106" s="87">
        <f>E106+8*10/56</f>
        <v>1.8571428571428572</v>
      </c>
      <c r="G106" s="87">
        <f>F106+8*3/56</f>
        <v>2.2857142857142856</v>
      </c>
      <c r="H106" s="87">
        <f>G106+8*1/56</f>
        <v>2.4285714285714284</v>
      </c>
      <c r="I106" s="87">
        <f>H106+8*0</f>
        <v>2.4285714285714284</v>
      </c>
      <c r="J106" s="87">
        <f>I106+8*2/56</f>
        <v>2.714285714285714</v>
      </c>
      <c r="K106" s="87">
        <f>J106+8*13/56</f>
        <v>4.5714285714285712</v>
      </c>
      <c r="L106" s="87">
        <f>K106+8*6/56</f>
        <v>5.4285714285714279</v>
      </c>
      <c r="M106" s="87">
        <f>L106+8*11/56</f>
        <v>6.9999999999999991</v>
      </c>
      <c r="N106" s="87">
        <f>M106+8*7/56</f>
        <v>7.9999999999999991</v>
      </c>
      <c r="O106" s="81">
        <v>480</v>
      </c>
      <c r="P106" s="70">
        <v>1</v>
      </c>
      <c r="Q106" s="81" t="s">
        <v>286</v>
      </c>
      <c r="R106" s="81" t="s">
        <v>166</v>
      </c>
      <c r="S106" s="81">
        <v>1966</v>
      </c>
      <c r="T106" s="81" t="s">
        <v>208</v>
      </c>
      <c r="U106" s="81" t="s">
        <v>284</v>
      </c>
    </row>
    <row r="107" spans="1:21" s="85" customFormat="1" x14ac:dyDescent="0.3">
      <c r="A107" s="86">
        <v>10</v>
      </c>
      <c r="B107" s="87">
        <v>0.17857142857142858</v>
      </c>
      <c r="C107" s="87">
        <f t="shared" si="27"/>
        <v>0.17857142857142858</v>
      </c>
      <c r="D107" s="87">
        <f t="shared" si="29"/>
        <v>0.17857142857142858</v>
      </c>
      <c r="E107" s="87">
        <f>D107+10*2/56</f>
        <v>0.5357142857142857</v>
      </c>
      <c r="F107" s="87">
        <f>E107+10*10/56</f>
        <v>2.3214285714285716</v>
      </c>
      <c r="G107" s="87">
        <f>F107+10*3/56</f>
        <v>2.8571428571428572</v>
      </c>
      <c r="H107" s="87">
        <f>G107+10*1/56</f>
        <v>3.0357142857142856</v>
      </c>
      <c r="I107" s="87">
        <f>H107+0</f>
        <v>3.0357142857142856</v>
      </c>
      <c r="J107" s="87">
        <f>I107+10*2/56</f>
        <v>3.3928571428571428</v>
      </c>
      <c r="K107" s="87">
        <f>J107+10*13/56</f>
        <v>5.7142857142857144</v>
      </c>
      <c r="L107" s="87">
        <f>K107+10*6/56</f>
        <v>6.7857142857142856</v>
      </c>
      <c r="M107" s="87">
        <f>L107+10*11/56</f>
        <v>8.75</v>
      </c>
      <c r="N107" s="87">
        <f>M107+10*7/56</f>
        <v>10</v>
      </c>
      <c r="O107" s="81">
        <v>480</v>
      </c>
      <c r="P107" s="70">
        <v>1</v>
      </c>
      <c r="Q107" s="81" t="s">
        <v>287</v>
      </c>
      <c r="R107" s="81" t="s">
        <v>166</v>
      </c>
      <c r="S107" s="81">
        <v>1966</v>
      </c>
      <c r="T107" s="81" t="s">
        <v>208</v>
      </c>
      <c r="U107" s="81" t="s">
        <v>284</v>
      </c>
    </row>
    <row r="108" spans="1:21" x14ac:dyDescent="0.3">
      <c r="A108" s="22">
        <v>12</v>
      </c>
      <c r="B108" s="23">
        <v>0.21428571428571427</v>
      </c>
      <c r="C108" s="23">
        <f t="shared" si="27"/>
        <v>0.21428571428571427</v>
      </c>
      <c r="D108" s="23">
        <f t="shared" si="29"/>
        <v>0.21428571428571427</v>
      </c>
      <c r="E108" s="23">
        <f>D108+12*2/56</f>
        <v>0.64285714285714279</v>
      </c>
      <c r="F108" s="23">
        <f>E108+12*10/56</f>
        <v>2.7857142857142856</v>
      </c>
      <c r="G108" s="23">
        <f>F108+12*3/56</f>
        <v>3.4285714285714284</v>
      </c>
      <c r="H108" s="23">
        <f>G108+12*1/56</f>
        <v>3.6428571428571428</v>
      </c>
      <c r="I108" s="23">
        <f>H108+12*0</f>
        <v>3.6428571428571428</v>
      </c>
      <c r="J108" s="23">
        <f>I108+12*2/56</f>
        <v>4.0714285714285712</v>
      </c>
      <c r="K108" s="23">
        <f>J108+12*13/56</f>
        <v>6.8571428571428568</v>
      </c>
      <c r="L108" s="23">
        <f>K108+12*6/56</f>
        <v>8.1428571428571423</v>
      </c>
      <c r="M108" s="23">
        <f>L108+12*11/56</f>
        <v>10.5</v>
      </c>
      <c r="N108" s="23">
        <f>M108+12*7/56</f>
        <v>12</v>
      </c>
      <c r="O108" s="15">
        <v>480</v>
      </c>
      <c r="P108" s="4">
        <v>1</v>
      </c>
      <c r="Q108" s="15" t="s">
        <v>288</v>
      </c>
      <c r="R108" s="15" t="s">
        <v>166</v>
      </c>
      <c r="S108" s="15">
        <v>1966</v>
      </c>
      <c r="T108" s="15" t="s">
        <v>208</v>
      </c>
      <c r="U108" s="15" t="s">
        <v>284</v>
      </c>
    </row>
    <row r="109" spans="1:21" x14ac:dyDescent="0.3">
      <c r="A109" s="22">
        <v>11</v>
      </c>
      <c r="B109" s="23">
        <v>0.21428571428571427</v>
      </c>
      <c r="C109" s="23">
        <f t="shared" si="27"/>
        <v>0.21428571428571427</v>
      </c>
      <c r="D109" s="23">
        <f t="shared" si="29"/>
        <v>0.21428571428571427</v>
      </c>
      <c r="E109" s="23">
        <f>D109+12*2/56</f>
        <v>0.64285714285714279</v>
      </c>
      <c r="F109" s="23">
        <f>E109+12*10/56</f>
        <v>2.7857142857142856</v>
      </c>
      <c r="G109" s="23">
        <f>F109+12*3/56</f>
        <v>3.4285714285714284</v>
      </c>
      <c r="H109" s="23">
        <f>G109+12*1/56</f>
        <v>3.6428571428571428</v>
      </c>
      <c r="I109" s="23">
        <f>H109+12*0</f>
        <v>3.6428571428571428</v>
      </c>
      <c r="J109" s="23">
        <f>I109+12*2/56</f>
        <v>4.0714285714285712</v>
      </c>
      <c r="K109" s="23">
        <f>J109+12*13/56</f>
        <v>6.8571428571428568</v>
      </c>
      <c r="L109" s="23">
        <f>K109+12*6/56</f>
        <v>8.1428571428571423</v>
      </c>
      <c r="M109" s="23">
        <f>L109+12*11/56</f>
        <v>10.5</v>
      </c>
      <c r="N109" s="23">
        <f>M109+12*7/56</f>
        <v>12</v>
      </c>
      <c r="O109" s="15">
        <v>480</v>
      </c>
      <c r="P109" s="4">
        <v>1</v>
      </c>
      <c r="Q109" s="15" t="s">
        <v>289</v>
      </c>
      <c r="R109" s="15" t="s">
        <v>166</v>
      </c>
      <c r="S109" s="15">
        <v>1966</v>
      </c>
      <c r="T109" s="15" t="s">
        <v>208</v>
      </c>
      <c r="U109" s="15" t="s">
        <v>284</v>
      </c>
    </row>
    <row r="110" spans="1:21" x14ac:dyDescent="0.3">
      <c r="A110" s="22">
        <v>42</v>
      </c>
      <c r="B110" s="23">
        <v>2</v>
      </c>
      <c r="C110" s="23">
        <f t="shared" si="27"/>
        <v>2</v>
      </c>
      <c r="D110" s="23">
        <f t="shared" si="29"/>
        <v>2</v>
      </c>
      <c r="E110" s="23">
        <f>D110+0</f>
        <v>2</v>
      </c>
      <c r="F110" s="23">
        <f>E110+3</f>
        <v>5</v>
      </c>
      <c r="G110" s="23">
        <f>F110+0</f>
        <v>5</v>
      </c>
      <c r="H110" s="23">
        <f>G110+0</f>
        <v>5</v>
      </c>
      <c r="I110" s="23">
        <f>H110+0</f>
        <v>5</v>
      </c>
      <c r="J110" s="23">
        <f>I110+3</f>
        <v>8</v>
      </c>
      <c r="K110" s="23">
        <f>J110+8</f>
        <v>16</v>
      </c>
      <c r="L110" s="23">
        <f>K110+26</f>
        <v>42</v>
      </c>
      <c r="M110" s="23">
        <f t="shared" ref="M110:N123" si="31">L110+0</f>
        <v>42</v>
      </c>
      <c r="N110" s="23">
        <f t="shared" si="31"/>
        <v>42</v>
      </c>
      <c r="O110" s="15">
        <v>815</v>
      </c>
      <c r="P110" s="4">
        <v>1</v>
      </c>
      <c r="Q110" s="15" t="s">
        <v>222</v>
      </c>
      <c r="R110" s="15" t="s">
        <v>218</v>
      </c>
      <c r="S110" s="15">
        <v>1961</v>
      </c>
      <c r="T110" s="15" t="s">
        <v>219</v>
      </c>
      <c r="U110" s="15" t="s">
        <v>338</v>
      </c>
    </row>
    <row r="111" spans="1:21" x14ac:dyDescent="0.3">
      <c r="A111" s="22">
        <v>56</v>
      </c>
      <c r="B111" s="23">
        <v>1</v>
      </c>
      <c r="C111" s="23">
        <f t="shared" si="27"/>
        <v>1</v>
      </c>
      <c r="D111" s="23">
        <f t="shared" si="29"/>
        <v>1</v>
      </c>
      <c r="E111" s="23">
        <f>D111+5</f>
        <v>6</v>
      </c>
      <c r="F111" s="23">
        <f>E111+1</f>
        <v>7</v>
      </c>
      <c r="G111" s="23">
        <f>F111+1</f>
        <v>8</v>
      </c>
      <c r="H111" s="23">
        <f>G111+2</f>
        <v>10</v>
      </c>
      <c r="I111" s="23">
        <f>H111+2</f>
        <v>12</v>
      </c>
      <c r="J111" s="23">
        <f>I111+1</f>
        <v>13</v>
      </c>
      <c r="K111" s="23">
        <f>J111+6</f>
        <v>19</v>
      </c>
      <c r="L111" s="23">
        <f>K111+37</f>
        <v>56</v>
      </c>
      <c r="M111" s="23">
        <f t="shared" si="31"/>
        <v>56</v>
      </c>
      <c r="N111" s="23">
        <f t="shared" si="31"/>
        <v>56</v>
      </c>
      <c r="O111" s="15">
        <v>797</v>
      </c>
      <c r="P111" s="4">
        <v>1</v>
      </c>
      <c r="Q111" s="15" t="s">
        <v>223</v>
      </c>
      <c r="R111" s="15" t="s">
        <v>218</v>
      </c>
      <c r="S111" s="15">
        <v>1961</v>
      </c>
      <c r="T111" s="15" t="s">
        <v>219</v>
      </c>
      <c r="U111" s="15" t="s">
        <v>338</v>
      </c>
    </row>
    <row r="112" spans="1:21" x14ac:dyDescent="0.3">
      <c r="A112" s="22">
        <v>53</v>
      </c>
      <c r="B112" s="23">
        <v>2</v>
      </c>
      <c r="C112" s="23">
        <f t="shared" si="27"/>
        <v>2</v>
      </c>
      <c r="D112" s="23">
        <f>C112+1</f>
        <v>3</v>
      </c>
      <c r="E112" s="23">
        <f>D112+0</f>
        <v>3</v>
      </c>
      <c r="F112" s="23">
        <f>E112+1</f>
        <v>4</v>
      </c>
      <c r="G112" s="23">
        <f>F112+1</f>
        <v>5</v>
      </c>
      <c r="H112" s="23">
        <f>G112+2</f>
        <v>7</v>
      </c>
      <c r="I112" s="23">
        <f>H112+1</f>
        <v>8</v>
      </c>
      <c r="J112" s="23">
        <f>I112+1</f>
        <v>9</v>
      </c>
      <c r="K112" s="23">
        <f>J112+2</f>
        <v>11</v>
      </c>
      <c r="L112" s="23">
        <f>K112+42</f>
        <v>53</v>
      </c>
      <c r="M112" s="23">
        <f t="shared" si="31"/>
        <v>53</v>
      </c>
      <c r="N112" s="23">
        <f t="shared" si="31"/>
        <v>53</v>
      </c>
      <c r="O112" s="15">
        <v>815</v>
      </c>
      <c r="P112" s="4">
        <v>2</v>
      </c>
      <c r="Q112" s="15" t="s">
        <v>222</v>
      </c>
      <c r="R112" s="15" t="s">
        <v>218</v>
      </c>
      <c r="S112" s="15">
        <v>1961</v>
      </c>
      <c r="T112" s="15" t="s">
        <v>219</v>
      </c>
      <c r="U112" s="15" t="s">
        <v>338</v>
      </c>
    </row>
    <row r="113" spans="1:21" x14ac:dyDescent="0.3">
      <c r="A113" s="22">
        <v>76</v>
      </c>
      <c r="B113" s="23">
        <v>10</v>
      </c>
      <c r="C113" s="23">
        <f t="shared" si="27"/>
        <v>10</v>
      </c>
      <c r="D113" s="23">
        <f>C113+2</f>
        <v>12</v>
      </c>
      <c r="E113" s="23">
        <f>D113+3</f>
        <v>15</v>
      </c>
      <c r="F113" s="23">
        <f>E113+4</f>
        <v>19</v>
      </c>
      <c r="G113" s="23">
        <f>F113+2</f>
        <v>21</v>
      </c>
      <c r="H113" s="23">
        <f>G113+8</f>
        <v>29</v>
      </c>
      <c r="I113" s="23">
        <f>H113+6</f>
        <v>35</v>
      </c>
      <c r="J113" s="23">
        <f>I113+6</f>
        <v>41</v>
      </c>
      <c r="K113" s="23">
        <f>J113+7</f>
        <v>48</v>
      </c>
      <c r="L113" s="23">
        <f>K113+28</f>
        <v>76</v>
      </c>
      <c r="M113" s="23">
        <f t="shared" si="31"/>
        <v>76</v>
      </c>
      <c r="N113" s="23">
        <f t="shared" si="31"/>
        <v>76</v>
      </c>
      <c r="O113" s="15">
        <v>815</v>
      </c>
      <c r="P113" s="4">
        <v>3</v>
      </c>
      <c r="Q113" s="15" t="s">
        <v>222</v>
      </c>
      <c r="R113" s="15" t="s">
        <v>218</v>
      </c>
      <c r="S113" s="15">
        <v>1961</v>
      </c>
      <c r="T113" s="15" t="s">
        <v>219</v>
      </c>
      <c r="U113" s="15" t="s">
        <v>338</v>
      </c>
    </row>
    <row r="114" spans="1:21" x14ac:dyDescent="0.3">
      <c r="A114" s="22">
        <v>5</v>
      </c>
      <c r="B114" s="23">
        <v>0</v>
      </c>
      <c r="C114" s="23">
        <f t="shared" si="27"/>
        <v>0</v>
      </c>
      <c r="D114" s="23">
        <f>C114+2</f>
        <v>2</v>
      </c>
      <c r="E114" s="23">
        <f>D114+1</f>
        <v>3</v>
      </c>
      <c r="F114" s="23">
        <f t="shared" ref="F114:G123" si="32">E114+0</f>
        <v>3</v>
      </c>
      <c r="G114" s="23">
        <f t="shared" si="32"/>
        <v>3</v>
      </c>
      <c r="H114" s="23">
        <f>G114+2</f>
        <v>5</v>
      </c>
      <c r="I114" s="23">
        <f>H114+0</f>
        <v>5</v>
      </c>
      <c r="J114" s="23">
        <f>I114+0</f>
        <v>5</v>
      </c>
      <c r="K114" s="23">
        <f>J114+0</f>
        <v>5</v>
      </c>
      <c r="L114" s="23">
        <f>K114+0</f>
        <v>5</v>
      </c>
      <c r="M114" s="23">
        <f t="shared" si="31"/>
        <v>5</v>
      </c>
      <c r="N114" s="23">
        <f t="shared" si="31"/>
        <v>5</v>
      </c>
      <c r="O114" s="15">
        <v>3650</v>
      </c>
      <c r="P114" s="4">
        <v>2</v>
      </c>
      <c r="Q114" s="15" t="s">
        <v>491</v>
      </c>
      <c r="R114" s="15" t="s">
        <v>259</v>
      </c>
      <c r="S114" s="15">
        <v>1965</v>
      </c>
      <c r="T114" s="15" t="s">
        <v>486</v>
      </c>
    </row>
    <row r="115" spans="1:21" x14ac:dyDescent="0.3">
      <c r="A115" s="22">
        <v>100</v>
      </c>
      <c r="B115" s="23">
        <v>9</v>
      </c>
      <c r="C115" s="23">
        <f t="shared" si="27"/>
        <v>9</v>
      </c>
      <c r="D115" s="23">
        <f>C115+0</f>
        <v>9</v>
      </c>
      <c r="E115" s="23">
        <f>D115+8</f>
        <v>17</v>
      </c>
      <c r="F115" s="23">
        <f t="shared" si="32"/>
        <v>17</v>
      </c>
      <c r="G115" s="23">
        <f t="shared" si="32"/>
        <v>17</v>
      </c>
      <c r="H115" s="23">
        <f>G115+39</f>
        <v>56</v>
      </c>
      <c r="I115" s="23">
        <f t="shared" ref="I115:J123" si="33">H115+0</f>
        <v>56</v>
      </c>
      <c r="J115" s="23">
        <f t="shared" si="33"/>
        <v>56</v>
      </c>
      <c r="K115" s="23">
        <f>J115+44</f>
        <v>100</v>
      </c>
      <c r="L115" s="23">
        <f t="shared" ref="L115:L123" si="34">K115+0</f>
        <v>100</v>
      </c>
      <c r="M115" s="23">
        <f t="shared" si="31"/>
        <v>100</v>
      </c>
      <c r="N115" s="23">
        <f t="shared" si="31"/>
        <v>100</v>
      </c>
      <c r="O115" s="15">
        <v>3650</v>
      </c>
      <c r="P115" s="4">
        <v>2</v>
      </c>
      <c r="Q115" s="15" t="s">
        <v>495</v>
      </c>
      <c r="R115" s="15" t="s">
        <v>259</v>
      </c>
      <c r="S115" s="15">
        <v>1965</v>
      </c>
      <c r="T115" s="15" t="s">
        <v>486</v>
      </c>
    </row>
    <row r="116" spans="1:21" x14ac:dyDescent="0.3">
      <c r="A116" s="22">
        <v>42</v>
      </c>
      <c r="B116" s="87">
        <v>0</v>
      </c>
      <c r="C116" s="87">
        <f t="shared" si="27"/>
        <v>0</v>
      </c>
      <c r="D116" s="87">
        <f>C116+10</f>
        <v>10</v>
      </c>
      <c r="E116" s="87">
        <f>D116+1</f>
        <v>11</v>
      </c>
      <c r="F116" s="87">
        <f t="shared" si="32"/>
        <v>11</v>
      </c>
      <c r="G116" s="87">
        <f t="shared" si="32"/>
        <v>11</v>
      </c>
      <c r="H116" s="87">
        <f>G116+15</f>
        <v>26</v>
      </c>
      <c r="I116" s="87">
        <f t="shared" si="33"/>
        <v>26</v>
      </c>
      <c r="J116" s="87">
        <f t="shared" si="33"/>
        <v>26</v>
      </c>
      <c r="K116" s="87">
        <f>J116+16</f>
        <v>42</v>
      </c>
      <c r="L116" s="87">
        <f t="shared" si="34"/>
        <v>42</v>
      </c>
      <c r="M116" s="87">
        <f t="shared" si="31"/>
        <v>42</v>
      </c>
      <c r="N116" s="87">
        <f t="shared" si="31"/>
        <v>42</v>
      </c>
      <c r="O116" s="15">
        <v>3650</v>
      </c>
      <c r="P116" s="4">
        <v>2</v>
      </c>
      <c r="Q116" s="15" t="s">
        <v>494</v>
      </c>
      <c r="R116" s="15" t="s">
        <v>259</v>
      </c>
      <c r="S116" s="15">
        <v>1965</v>
      </c>
      <c r="T116" s="15" t="s">
        <v>486</v>
      </c>
    </row>
    <row r="117" spans="1:21" x14ac:dyDescent="0.3">
      <c r="A117" s="22">
        <v>44</v>
      </c>
      <c r="B117" s="23">
        <v>0</v>
      </c>
      <c r="C117" s="23">
        <f t="shared" si="27"/>
        <v>0</v>
      </c>
      <c r="D117" s="23">
        <f>C117+9</f>
        <v>9</v>
      </c>
      <c r="E117" s="23">
        <f>D117+0</f>
        <v>9</v>
      </c>
      <c r="F117" s="23">
        <f t="shared" si="32"/>
        <v>9</v>
      </c>
      <c r="G117" s="23">
        <f t="shared" si="32"/>
        <v>9</v>
      </c>
      <c r="H117" s="23">
        <f>G117+21</f>
        <v>30</v>
      </c>
      <c r="I117" s="23">
        <f t="shared" si="33"/>
        <v>30</v>
      </c>
      <c r="J117" s="23">
        <f t="shared" si="33"/>
        <v>30</v>
      </c>
      <c r="K117" s="23">
        <f>J117+14</f>
        <v>44</v>
      </c>
      <c r="L117" s="23">
        <f t="shared" si="34"/>
        <v>44</v>
      </c>
      <c r="M117" s="23">
        <f t="shared" si="31"/>
        <v>44</v>
      </c>
      <c r="N117" s="23">
        <f t="shared" si="31"/>
        <v>44</v>
      </c>
      <c r="O117" s="15">
        <v>3650</v>
      </c>
      <c r="P117" s="4">
        <v>2</v>
      </c>
      <c r="Q117" s="15" t="s">
        <v>492</v>
      </c>
      <c r="R117" s="15" t="s">
        <v>259</v>
      </c>
      <c r="S117" s="15">
        <v>1965</v>
      </c>
      <c r="T117" s="15" t="s">
        <v>486</v>
      </c>
    </row>
    <row r="118" spans="1:21" x14ac:dyDescent="0.3">
      <c r="A118" s="22">
        <v>72</v>
      </c>
      <c r="B118" s="23">
        <v>0</v>
      </c>
      <c r="C118" s="23">
        <f t="shared" si="27"/>
        <v>0</v>
      </c>
      <c r="D118" s="23">
        <f>C118+10</f>
        <v>10</v>
      </c>
      <c r="E118" s="23">
        <f>D118+0</f>
        <v>10</v>
      </c>
      <c r="F118" s="23">
        <f t="shared" si="32"/>
        <v>10</v>
      </c>
      <c r="G118" s="23">
        <f t="shared" si="32"/>
        <v>10</v>
      </c>
      <c r="H118" s="23">
        <f>G118+36</f>
        <v>46</v>
      </c>
      <c r="I118" s="23">
        <f t="shared" si="33"/>
        <v>46</v>
      </c>
      <c r="J118" s="23">
        <f t="shared" si="33"/>
        <v>46</v>
      </c>
      <c r="K118" s="23">
        <f>J118+26</f>
        <v>72</v>
      </c>
      <c r="L118" s="23">
        <f t="shared" si="34"/>
        <v>72</v>
      </c>
      <c r="M118" s="23">
        <f t="shared" si="31"/>
        <v>72</v>
      </c>
      <c r="N118" s="23">
        <f t="shared" si="31"/>
        <v>72</v>
      </c>
      <c r="O118" s="15">
        <v>3650</v>
      </c>
      <c r="P118" s="4">
        <v>2</v>
      </c>
      <c r="Q118" s="15" t="s">
        <v>493</v>
      </c>
      <c r="R118" s="15" t="s">
        <v>259</v>
      </c>
      <c r="S118" s="15">
        <v>1965</v>
      </c>
      <c r="T118" s="15" t="s">
        <v>486</v>
      </c>
    </row>
    <row r="119" spans="1:21" x14ac:dyDescent="0.3">
      <c r="A119" s="22">
        <v>5</v>
      </c>
      <c r="B119" s="23">
        <v>0</v>
      </c>
      <c r="C119" s="23">
        <f t="shared" si="27"/>
        <v>0</v>
      </c>
      <c r="D119" s="23">
        <f>C119+3</f>
        <v>3</v>
      </c>
      <c r="E119" s="23">
        <f>D119+0</f>
        <v>3</v>
      </c>
      <c r="F119" s="23">
        <f t="shared" si="32"/>
        <v>3</v>
      </c>
      <c r="G119" s="23">
        <f t="shared" si="32"/>
        <v>3</v>
      </c>
      <c r="H119" s="23">
        <f>G119+2</f>
        <v>5</v>
      </c>
      <c r="I119" s="23">
        <f t="shared" si="33"/>
        <v>5</v>
      </c>
      <c r="J119" s="23">
        <f t="shared" si="33"/>
        <v>5</v>
      </c>
      <c r="K119" s="23">
        <f>J119+0</f>
        <v>5</v>
      </c>
      <c r="L119" s="23">
        <f t="shared" si="34"/>
        <v>5</v>
      </c>
      <c r="M119" s="23">
        <f t="shared" si="31"/>
        <v>5</v>
      </c>
      <c r="N119" s="23">
        <f t="shared" si="31"/>
        <v>5</v>
      </c>
      <c r="O119" s="15">
        <v>3650</v>
      </c>
      <c r="P119" s="4">
        <v>3</v>
      </c>
      <c r="Q119" s="15" t="s">
        <v>491</v>
      </c>
      <c r="R119" s="15" t="s">
        <v>259</v>
      </c>
      <c r="S119" s="15">
        <v>1965</v>
      </c>
      <c r="T119" s="15" t="s">
        <v>486</v>
      </c>
    </row>
    <row r="120" spans="1:21" x14ac:dyDescent="0.3">
      <c r="A120" s="22">
        <v>100</v>
      </c>
      <c r="B120" s="23">
        <v>5</v>
      </c>
      <c r="C120" s="23">
        <f t="shared" si="27"/>
        <v>5</v>
      </c>
      <c r="D120" s="23">
        <f>C120+2</f>
        <v>7</v>
      </c>
      <c r="E120" s="23">
        <f>D120+9</f>
        <v>16</v>
      </c>
      <c r="F120" s="23">
        <f t="shared" si="32"/>
        <v>16</v>
      </c>
      <c r="G120" s="23">
        <f t="shared" si="32"/>
        <v>16</v>
      </c>
      <c r="H120" s="23">
        <f>G120+36</f>
        <v>52</v>
      </c>
      <c r="I120" s="23">
        <f t="shared" si="33"/>
        <v>52</v>
      </c>
      <c r="J120" s="23">
        <f t="shared" si="33"/>
        <v>52</v>
      </c>
      <c r="K120" s="23">
        <f>J120+48</f>
        <v>100</v>
      </c>
      <c r="L120" s="23">
        <f t="shared" si="34"/>
        <v>100</v>
      </c>
      <c r="M120" s="23">
        <f t="shared" si="31"/>
        <v>100</v>
      </c>
      <c r="N120" s="23">
        <f t="shared" si="31"/>
        <v>100</v>
      </c>
      <c r="O120" s="15">
        <v>3650</v>
      </c>
      <c r="P120" s="4">
        <v>3</v>
      </c>
      <c r="Q120" s="15" t="s">
        <v>495</v>
      </c>
      <c r="R120" s="15" t="s">
        <v>259</v>
      </c>
      <c r="S120" s="15">
        <v>1965</v>
      </c>
      <c r="T120" s="15" t="s">
        <v>486</v>
      </c>
    </row>
    <row r="121" spans="1:21" x14ac:dyDescent="0.3">
      <c r="A121" s="22">
        <v>42</v>
      </c>
      <c r="B121" s="23">
        <v>0</v>
      </c>
      <c r="C121" s="23">
        <f t="shared" si="27"/>
        <v>0</v>
      </c>
      <c r="D121" s="23">
        <f>C121+15</f>
        <v>15</v>
      </c>
      <c r="E121" s="23">
        <f>D121+3</f>
        <v>18</v>
      </c>
      <c r="F121" s="23">
        <f t="shared" si="32"/>
        <v>18</v>
      </c>
      <c r="G121" s="23">
        <f t="shared" si="32"/>
        <v>18</v>
      </c>
      <c r="H121" s="23">
        <f>G121+16</f>
        <v>34</v>
      </c>
      <c r="I121" s="23">
        <f t="shared" si="33"/>
        <v>34</v>
      </c>
      <c r="J121" s="23">
        <f t="shared" si="33"/>
        <v>34</v>
      </c>
      <c r="K121" s="23">
        <f>J121+8</f>
        <v>42</v>
      </c>
      <c r="L121" s="23">
        <f t="shared" si="34"/>
        <v>42</v>
      </c>
      <c r="M121" s="23">
        <f t="shared" si="31"/>
        <v>42</v>
      </c>
      <c r="N121" s="23">
        <f t="shared" si="31"/>
        <v>42</v>
      </c>
      <c r="O121" s="15">
        <v>3650</v>
      </c>
      <c r="P121" s="4">
        <v>3</v>
      </c>
      <c r="Q121" s="15" t="s">
        <v>494</v>
      </c>
      <c r="R121" s="15" t="s">
        <v>259</v>
      </c>
      <c r="S121" s="15">
        <v>1965</v>
      </c>
      <c r="T121" s="15" t="s">
        <v>486</v>
      </c>
    </row>
    <row r="122" spans="1:21" x14ac:dyDescent="0.3">
      <c r="A122" s="22">
        <v>44</v>
      </c>
      <c r="B122" s="23">
        <v>0</v>
      </c>
      <c r="C122" s="23">
        <f t="shared" si="27"/>
        <v>0</v>
      </c>
      <c r="D122" s="23">
        <f>C122+12</f>
        <v>12</v>
      </c>
      <c r="E122" s="23">
        <f>D122+1</f>
        <v>13</v>
      </c>
      <c r="F122" s="23">
        <f t="shared" si="32"/>
        <v>13</v>
      </c>
      <c r="G122" s="23">
        <f t="shared" si="32"/>
        <v>13</v>
      </c>
      <c r="H122" s="23">
        <f>G122+22</f>
        <v>35</v>
      </c>
      <c r="I122" s="23">
        <f t="shared" si="33"/>
        <v>35</v>
      </c>
      <c r="J122" s="23">
        <f t="shared" si="33"/>
        <v>35</v>
      </c>
      <c r="K122" s="23">
        <f>J122+9</f>
        <v>44</v>
      </c>
      <c r="L122" s="23">
        <f t="shared" si="34"/>
        <v>44</v>
      </c>
      <c r="M122" s="23">
        <f t="shared" si="31"/>
        <v>44</v>
      </c>
      <c r="N122" s="23">
        <f t="shared" si="31"/>
        <v>44</v>
      </c>
      <c r="O122" s="15">
        <v>3650</v>
      </c>
      <c r="P122" s="4">
        <v>3</v>
      </c>
      <c r="Q122" s="15" t="s">
        <v>492</v>
      </c>
      <c r="R122" s="15" t="s">
        <v>259</v>
      </c>
      <c r="S122" s="15">
        <v>1965</v>
      </c>
      <c r="T122" s="15" t="s">
        <v>486</v>
      </c>
    </row>
    <row r="123" spans="1:21" x14ac:dyDescent="0.3">
      <c r="A123" s="22">
        <v>72</v>
      </c>
      <c r="B123" s="23">
        <v>4</v>
      </c>
      <c r="C123" s="23">
        <f t="shared" si="27"/>
        <v>4</v>
      </c>
      <c r="D123" s="23">
        <f>C123+30</f>
        <v>34</v>
      </c>
      <c r="E123" s="23">
        <f>D123+8</f>
        <v>42</v>
      </c>
      <c r="F123" s="23">
        <f t="shared" si="32"/>
        <v>42</v>
      </c>
      <c r="G123" s="23">
        <f t="shared" si="32"/>
        <v>42</v>
      </c>
      <c r="H123" s="23">
        <f>G123+24</f>
        <v>66</v>
      </c>
      <c r="I123" s="23">
        <f t="shared" si="33"/>
        <v>66</v>
      </c>
      <c r="J123" s="23">
        <f t="shared" si="33"/>
        <v>66</v>
      </c>
      <c r="K123" s="23">
        <f>J123+6</f>
        <v>72</v>
      </c>
      <c r="L123" s="23">
        <f t="shared" si="34"/>
        <v>72</v>
      </c>
      <c r="M123" s="23">
        <f t="shared" si="31"/>
        <v>72</v>
      </c>
      <c r="N123" s="23">
        <f t="shared" si="31"/>
        <v>72</v>
      </c>
      <c r="O123" s="15">
        <v>3650</v>
      </c>
      <c r="P123" s="4">
        <v>3</v>
      </c>
      <c r="Q123" s="15" t="s">
        <v>493</v>
      </c>
      <c r="R123" s="15" t="s">
        <v>259</v>
      </c>
      <c r="S123" s="15">
        <v>1965</v>
      </c>
      <c r="T123" s="15" t="s">
        <v>486</v>
      </c>
    </row>
    <row r="124" spans="1:21" x14ac:dyDescent="0.3">
      <c r="A124" s="22">
        <v>133</v>
      </c>
      <c r="B124" s="23">
        <v>0</v>
      </c>
      <c r="C124" s="23">
        <f t="shared" si="27"/>
        <v>0</v>
      </c>
      <c r="D124" s="23">
        <f>C124+0</f>
        <v>0</v>
      </c>
      <c r="E124" s="23">
        <f>D124+0</f>
        <v>0</v>
      </c>
      <c r="F124" s="23">
        <f>E124+0</f>
        <v>0</v>
      </c>
      <c r="G124" s="23">
        <f>F124+2</f>
        <v>2</v>
      </c>
      <c r="H124" s="23">
        <f>G124+4</f>
        <v>6</v>
      </c>
      <c r="I124" s="23">
        <f>H124+15</f>
        <v>21</v>
      </c>
      <c r="J124" s="23">
        <f>I124+21</f>
        <v>42</v>
      </c>
      <c r="K124" s="23">
        <f>J124+30</f>
        <v>72</v>
      </c>
      <c r="L124" s="23">
        <f>K124+36</f>
        <v>108</v>
      </c>
      <c r="M124" s="23">
        <f>L124+25</f>
        <v>133</v>
      </c>
      <c r="N124" s="23">
        <f>M124+4</f>
        <v>137</v>
      </c>
      <c r="O124" s="15">
        <v>4099</v>
      </c>
      <c r="P124" s="4">
        <v>1</v>
      </c>
      <c r="Q124" s="15" t="s">
        <v>474</v>
      </c>
      <c r="R124" s="15" t="s">
        <v>472</v>
      </c>
      <c r="S124" s="15">
        <v>1967</v>
      </c>
      <c r="T124" s="15" t="s">
        <v>473</v>
      </c>
    </row>
    <row r="125" spans="1:21" x14ac:dyDescent="0.3">
      <c r="A125" s="22">
        <v>133</v>
      </c>
      <c r="B125" s="23">
        <v>1</v>
      </c>
      <c r="C125" s="23">
        <f t="shared" si="27"/>
        <v>1</v>
      </c>
      <c r="D125" s="23">
        <f t="shared" ref="D125:E128" si="35">C125+0</f>
        <v>1</v>
      </c>
      <c r="E125" s="23">
        <f t="shared" si="35"/>
        <v>1</v>
      </c>
      <c r="F125" s="23">
        <f>E125+1</f>
        <v>2</v>
      </c>
      <c r="G125" s="23">
        <f>F125+9</f>
        <v>11</v>
      </c>
      <c r="H125" s="23">
        <f>G125+15</f>
        <v>26</v>
      </c>
      <c r="I125" s="23">
        <f>H125+31</f>
        <v>57</v>
      </c>
      <c r="J125" s="23">
        <f>I125+27</f>
        <v>84</v>
      </c>
      <c r="K125" s="23">
        <f>J125+26</f>
        <v>110</v>
      </c>
      <c r="L125" s="23">
        <f>K125+10</f>
        <v>120</v>
      </c>
      <c r="M125" s="23">
        <f>L125+4</f>
        <v>124</v>
      </c>
      <c r="N125" s="23">
        <f>M125+3</f>
        <v>127</v>
      </c>
      <c r="O125" s="15">
        <v>4555</v>
      </c>
      <c r="P125" s="4">
        <v>1</v>
      </c>
      <c r="Q125" s="15" t="s">
        <v>474</v>
      </c>
      <c r="R125" s="15" t="s">
        <v>472</v>
      </c>
      <c r="S125" s="15">
        <v>1967</v>
      </c>
      <c r="T125" s="15" t="s">
        <v>473</v>
      </c>
    </row>
    <row r="126" spans="1:21" x14ac:dyDescent="0.3">
      <c r="A126" s="22">
        <v>133</v>
      </c>
      <c r="B126" s="23">
        <v>0</v>
      </c>
      <c r="C126" s="23">
        <f t="shared" si="27"/>
        <v>0</v>
      </c>
      <c r="D126" s="23">
        <f t="shared" si="35"/>
        <v>0</v>
      </c>
      <c r="E126" s="23">
        <f t="shared" si="35"/>
        <v>0</v>
      </c>
      <c r="F126" s="87">
        <f>E126+0</f>
        <v>0</v>
      </c>
      <c r="G126" s="23">
        <f>F126+2</f>
        <v>2</v>
      </c>
      <c r="H126" s="23">
        <f>G126+4</f>
        <v>6</v>
      </c>
      <c r="I126" s="87">
        <f>H126+9</f>
        <v>15</v>
      </c>
      <c r="J126" s="23">
        <f>I126+16</f>
        <v>31</v>
      </c>
      <c r="K126" s="23">
        <f>J126+26</f>
        <v>57</v>
      </c>
      <c r="L126" s="87">
        <f>K126+39</f>
        <v>96</v>
      </c>
      <c r="M126" s="23">
        <f>L126+21</f>
        <v>117</v>
      </c>
      <c r="N126" s="23">
        <f>M126+16</f>
        <v>133</v>
      </c>
      <c r="O126" s="15">
        <v>4099</v>
      </c>
      <c r="P126" s="4">
        <v>2</v>
      </c>
      <c r="Q126" s="15" t="s">
        <v>474</v>
      </c>
      <c r="R126" s="15" t="s">
        <v>472</v>
      </c>
      <c r="S126" s="15">
        <v>1967</v>
      </c>
      <c r="T126" s="15" t="s">
        <v>473</v>
      </c>
    </row>
    <row r="127" spans="1:21" x14ac:dyDescent="0.3">
      <c r="A127" s="22">
        <v>133</v>
      </c>
      <c r="B127" s="23">
        <v>0</v>
      </c>
      <c r="C127" s="23">
        <f t="shared" ref="C127:C158" si="36">B127+0</f>
        <v>0</v>
      </c>
      <c r="D127" s="87">
        <f t="shared" si="35"/>
        <v>0</v>
      </c>
      <c r="E127" s="23">
        <f t="shared" si="35"/>
        <v>0</v>
      </c>
      <c r="F127" s="23">
        <f>E127+7</f>
        <v>7</v>
      </c>
      <c r="G127" s="23">
        <f>F127+17</f>
        <v>24</v>
      </c>
      <c r="H127" s="23">
        <f>G127+22</f>
        <v>46</v>
      </c>
      <c r="I127" s="23">
        <f>H127+30</f>
        <v>76</v>
      </c>
      <c r="J127" s="23">
        <f>I127+26</f>
        <v>102</v>
      </c>
      <c r="K127" s="23">
        <f>J127+14</f>
        <v>116</v>
      </c>
      <c r="L127" s="23">
        <f>K127+9</f>
        <v>125</v>
      </c>
      <c r="M127" s="23">
        <f>L127+4</f>
        <v>129</v>
      </c>
      <c r="N127" s="23">
        <f>M127+4</f>
        <v>133</v>
      </c>
      <c r="O127" s="15">
        <v>4555</v>
      </c>
      <c r="P127" s="4">
        <v>2</v>
      </c>
      <c r="Q127" s="15" t="s">
        <v>474</v>
      </c>
      <c r="R127" s="15" t="s">
        <v>472</v>
      </c>
      <c r="S127" s="15">
        <v>1967</v>
      </c>
      <c r="T127" s="15" t="s">
        <v>473</v>
      </c>
    </row>
    <row r="128" spans="1:21" x14ac:dyDescent="0.3">
      <c r="A128" s="22">
        <v>133</v>
      </c>
      <c r="B128" s="23">
        <v>1</v>
      </c>
      <c r="C128" s="23">
        <f t="shared" si="36"/>
        <v>1</v>
      </c>
      <c r="D128" s="23">
        <f t="shared" si="35"/>
        <v>1</v>
      </c>
      <c r="E128" s="23">
        <f t="shared" si="35"/>
        <v>1</v>
      </c>
      <c r="F128" s="23">
        <f>E128+5</f>
        <v>6</v>
      </c>
      <c r="G128" s="23">
        <f>F128+10</f>
        <v>16</v>
      </c>
      <c r="H128" s="23">
        <f>G128+25</f>
        <v>41</v>
      </c>
      <c r="I128" s="23">
        <f>H128+24</f>
        <v>65</v>
      </c>
      <c r="J128" s="23">
        <f>I128+15</f>
        <v>80</v>
      </c>
      <c r="K128" s="23">
        <f>J128+24</f>
        <v>104</v>
      </c>
      <c r="L128" s="23">
        <f>K128+16</f>
        <v>120</v>
      </c>
      <c r="M128" s="23">
        <f>L128+10</f>
        <v>130</v>
      </c>
      <c r="N128" s="23">
        <f>M128+3</f>
        <v>133</v>
      </c>
      <c r="O128" s="81">
        <v>4099</v>
      </c>
      <c r="P128" s="4">
        <v>3</v>
      </c>
      <c r="Q128" s="15" t="s">
        <v>474</v>
      </c>
      <c r="R128" s="15" t="s">
        <v>472</v>
      </c>
      <c r="S128" s="15">
        <v>1967</v>
      </c>
      <c r="T128" s="15" t="s">
        <v>473</v>
      </c>
    </row>
    <row r="129" spans="1:20" x14ac:dyDescent="0.3">
      <c r="A129" s="22">
        <v>133</v>
      </c>
      <c r="B129" s="87">
        <v>6</v>
      </c>
      <c r="C129" s="87">
        <f t="shared" si="36"/>
        <v>6</v>
      </c>
      <c r="D129" s="87">
        <f t="shared" ref="D129:D138" si="37">C129+0</f>
        <v>6</v>
      </c>
      <c r="E129" s="87">
        <f>D129+17</f>
        <v>23</v>
      </c>
      <c r="F129" s="87">
        <f>E129+24</f>
        <v>47</v>
      </c>
      <c r="G129" s="87">
        <f>F129+28</f>
        <v>75</v>
      </c>
      <c r="H129" s="87">
        <f>G129+19</f>
        <v>94</v>
      </c>
      <c r="I129" s="87">
        <f>H129+12</f>
        <v>106</v>
      </c>
      <c r="J129" s="87">
        <f>I129+15</f>
        <v>121</v>
      </c>
      <c r="K129" s="87">
        <f>J129+7</f>
        <v>128</v>
      </c>
      <c r="L129" s="87">
        <f>K129+3</f>
        <v>131</v>
      </c>
      <c r="M129" s="87">
        <f>L129+2</f>
        <v>133</v>
      </c>
      <c r="N129" s="87">
        <f t="shared" ref="N129:N139" si="38">M129+0</f>
        <v>133</v>
      </c>
      <c r="O129" s="81">
        <v>4555</v>
      </c>
      <c r="P129" s="4">
        <v>3</v>
      </c>
      <c r="Q129" s="15" t="s">
        <v>474</v>
      </c>
      <c r="R129" s="15" t="s">
        <v>472</v>
      </c>
      <c r="S129" s="15">
        <v>1967</v>
      </c>
      <c r="T129" s="15" t="s">
        <v>473</v>
      </c>
    </row>
    <row r="130" spans="1:20" x14ac:dyDescent="0.3">
      <c r="A130" s="22">
        <v>55</v>
      </c>
      <c r="B130" s="87">
        <v>0</v>
      </c>
      <c r="C130" s="87">
        <f t="shared" si="36"/>
        <v>0</v>
      </c>
      <c r="D130" s="87">
        <f t="shared" si="37"/>
        <v>0</v>
      </c>
      <c r="E130" s="87">
        <f t="shared" ref="E130:F138" si="39">D130+0</f>
        <v>0</v>
      </c>
      <c r="F130" s="87">
        <f t="shared" si="39"/>
        <v>0</v>
      </c>
      <c r="G130" s="87">
        <f>F130+15</f>
        <v>15</v>
      </c>
      <c r="H130" s="87">
        <f t="shared" ref="H130:I138" si="40">G130+0</f>
        <v>15</v>
      </c>
      <c r="I130" s="87">
        <f t="shared" si="40"/>
        <v>15</v>
      </c>
      <c r="J130" s="87">
        <f>I130+35</f>
        <v>50</v>
      </c>
      <c r="K130" s="87">
        <f t="shared" ref="K130:K139" si="41">J130+0</f>
        <v>50</v>
      </c>
      <c r="L130" s="87">
        <f>K130+5</f>
        <v>55</v>
      </c>
      <c r="M130" s="87">
        <f t="shared" ref="M130:M139" si="42">L130+0</f>
        <v>55</v>
      </c>
      <c r="N130" s="87">
        <f t="shared" si="38"/>
        <v>55</v>
      </c>
      <c r="O130" s="81">
        <v>180</v>
      </c>
      <c r="P130" s="4">
        <v>1</v>
      </c>
      <c r="Q130" s="15" t="s">
        <v>62</v>
      </c>
      <c r="R130" s="15" t="s">
        <v>69</v>
      </c>
      <c r="S130" s="15">
        <v>2001</v>
      </c>
      <c r="T130" s="15" t="s">
        <v>70</v>
      </c>
    </row>
    <row r="131" spans="1:20" x14ac:dyDescent="0.3">
      <c r="A131" s="22">
        <v>55</v>
      </c>
      <c r="B131" s="87">
        <v>0</v>
      </c>
      <c r="C131" s="87">
        <f t="shared" si="36"/>
        <v>0</v>
      </c>
      <c r="D131" s="87">
        <f t="shared" si="37"/>
        <v>0</v>
      </c>
      <c r="E131" s="87">
        <f t="shared" si="39"/>
        <v>0</v>
      </c>
      <c r="F131" s="87">
        <f t="shared" si="39"/>
        <v>0</v>
      </c>
      <c r="G131" s="87">
        <f>F131+13</f>
        <v>13</v>
      </c>
      <c r="H131" s="87">
        <f t="shared" si="40"/>
        <v>13</v>
      </c>
      <c r="I131" s="87">
        <f t="shared" si="40"/>
        <v>13</v>
      </c>
      <c r="J131" s="87">
        <f>I131+34</f>
        <v>47</v>
      </c>
      <c r="K131" s="87">
        <f t="shared" si="41"/>
        <v>47</v>
      </c>
      <c r="L131" s="87">
        <f>K131+8</f>
        <v>55</v>
      </c>
      <c r="M131" s="87">
        <f t="shared" si="42"/>
        <v>55</v>
      </c>
      <c r="N131" s="87">
        <f t="shared" si="38"/>
        <v>55</v>
      </c>
      <c r="O131" s="81">
        <v>540</v>
      </c>
      <c r="P131" s="4">
        <v>1</v>
      </c>
      <c r="Q131" s="15" t="s">
        <v>62</v>
      </c>
      <c r="R131" s="15" t="s">
        <v>69</v>
      </c>
      <c r="S131" s="15">
        <v>2001</v>
      </c>
      <c r="T131" s="15" t="s">
        <v>70</v>
      </c>
    </row>
    <row r="132" spans="1:20" x14ac:dyDescent="0.3">
      <c r="A132" s="22">
        <v>55</v>
      </c>
      <c r="B132" s="87">
        <v>0</v>
      </c>
      <c r="C132" s="87">
        <f t="shared" si="36"/>
        <v>0</v>
      </c>
      <c r="D132" s="87">
        <f t="shared" si="37"/>
        <v>0</v>
      </c>
      <c r="E132" s="87">
        <f t="shared" si="39"/>
        <v>0</v>
      </c>
      <c r="F132" s="87">
        <f t="shared" si="39"/>
        <v>0</v>
      </c>
      <c r="G132" s="87">
        <f>F132+4</f>
        <v>4</v>
      </c>
      <c r="H132" s="87">
        <f t="shared" si="40"/>
        <v>4</v>
      </c>
      <c r="I132" s="87">
        <f t="shared" si="40"/>
        <v>4</v>
      </c>
      <c r="J132" s="87">
        <f>I132+19</f>
        <v>23</v>
      </c>
      <c r="K132" s="87">
        <f t="shared" si="41"/>
        <v>23</v>
      </c>
      <c r="L132" s="87">
        <f>K132+32</f>
        <v>55</v>
      </c>
      <c r="M132" s="87">
        <f t="shared" si="42"/>
        <v>55</v>
      </c>
      <c r="N132" s="87">
        <f t="shared" si="38"/>
        <v>55</v>
      </c>
      <c r="O132" s="81">
        <v>570</v>
      </c>
      <c r="P132" s="4">
        <v>1</v>
      </c>
      <c r="Q132" s="15" t="s">
        <v>62</v>
      </c>
      <c r="R132" s="15" t="s">
        <v>69</v>
      </c>
      <c r="S132" s="15">
        <v>2001</v>
      </c>
      <c r="T132" s="15" t="s">
        <v>70</v>
      </c>
    </row>
    <row r="133" spans="1:20" x14ac:dyDescent="0.3">
      <c r="A133" s="22">
        <v>55</v>
      </c>
      <c r="B133" s="87">
        <v>0</v>
      </c>
      <c r="C133" s="87">
        <f t="shared" si="36"/>
        <v>0</v>
      </c>
      <c r="D133" s="87">
        <f t="shared" si="37"/>
        <v>0</v>
      </c>
      <c r="E133" s="87">
        <f t="shared" si="39"/>
        <v>0</v>
      </c>
      <c r="F133" s="87">
        <f t="shared" si="39"/>
        <v>0</v>
      </c>
      <c r="G133" s="87">
        <f>F133+9</f>
        <v>9</v>
      </c>
      <c r="H133" s="87">
        <f t="shared" si="40"/>
        <v>9</v>
      </c>
      <c r="I133" s="87">
        <f t="shared" si="40"/>
        <v>9</v>
      </c>
      <c r="J133" s="87">
        <f>I133+32</f>
        <v>41</v>
      </c>
      <c r="K133" s="87">
        <f t="shared" si="41"/>
        <v>41</v>
      </c>
      <c r="L133" s="87">
        <f>K133+14</f>
        <v>55</v>
      </c>
      <c r="M133" s="87">
        <f t="shared" si="42"/>
        <v>55</v>
      </c>
      <c r="N133" s="87">
        <f t="shared" si="38"/>
        <v>55</v>
      </c>
      <c r="O133" s="81">
        <v>180</v>
      </c>
      <c r="P133" s="4">
        <v>2</v>
      </c>
      <c r="Q133" s="15" t="s">
        <v>62</v>
      </c>
      <c r="R133" s="15" t="s">
        <v>69</v>
      </c>
      <c r="S133" s="15">
        <v>2001</v>
      </c>
      <c r="T133" s="15" t="s">
        <v>70</v>
      </c>
    </row>
    <row r="134" spans="1:20" x14ac:dyDescent="0.3">
      <c r="A134" s="22">
        <v>55</v>
      </c>
      <c r="B134" s="87">
        <v>0</v>
      </c>
      <c r="C134" s="87">
        <f t="shared" si="36"/>
        <v>0</v>
      </c>
      <c r="D134" s="87">
        <f t="shared" si="37"/>
        <v>0</v>
      </c>
      <c r="E134" s="87">
        <f t="shared" si="39"/>
        <v>0</v>
      </c>
      <c r="F134" s="87">
        <f t="shared" si="39"/>
        <v>0</v>
      </c>
      <c r="G134" s="87">
        <f>F134+2</f>
        <v>2</v>
      </c>
      <c r="H134" s="87">
        <f t="shared" si="40"/>
        <v>2</v>
      </c>
      <c r="I134" s="87">
        <f t="shared" si="40"/>
        <v>2</v>
      </c>
      <c r="J134" s="87">
        <f>I134+33</f>
        <v>35</v>
      </c>
      <c r="K134" s="87">
        <f t="shared" si="41"/>
        <v>35</v>
      </c>
      <c r="L134" s="87">
        <f>K134+20</f>
        <v>55</v>
      </c>
      <c r="M134" s="87">
        <f t="shared" si="42"/>
        <v>55</v>
      </c>
      <c r="N134" s="87">
        <f t="shared" si="38"/>
        <v>55</v>
      </c>
      <c r="O134" s="81">
        <v>540</v>
      </c>
      <c r="P134" s="4">
        <v>2</v>
      </c>
      <c r="Q134" s="15" t="s">
        <v>62</v>
      </c>
      <c r="R134" s="15" t="s">
        <v>69</v>
      </c>
      <c r="S134" s="15">
        <v>2001</v>
      </c>
      <c r="T134" s="15" t="s">
        <v>70</v>
      </c>
    </row>
    <row r="135" spans="1:20" x14ac:dyDescent="0.3">
      <c r="A135" s="22">
        <v>55</v>
      </c>
      <c r="B135" s="87">
        <v>0</v>
      </c>
      <c r="C135" s="87">
        <f t="shared" si="36"/>
        <v>0</v>
      </c>
      <c r="D135" s="87">
        <f t="shared" si="37"/>
        <v>0</v>
      </c>
      <c r="E135" s="87">
        <f t="shared" si="39"/>
        <v>0</v>
      </c>
      <c r="F135" s="87">
        <f t="shared" si="39"/>
        <v>0</v>
      </c>
      <c r="G135" s="87">
        <f>F135+0</f>
        <v>0</v>
      </c>
      <c r="H135" s="87">
        <f t="shared" si="40"/>
        <v>0</v>
      </c>
      <c r="I135" s="87">
        <f t="shared" si="40"/>
        <v>0</v>
      </c>
      <c r="J135" s="87">
        <f>I135+13</f>
        <v>13</v>
      </c>
      <c r="K135" s="87">
        <f t="shared" si="41"/>
        <v>13</v>
      </c>
      <c r="L135" s="87">
        <f>K135+42</f>
        <v>55</v>
      </c>
      <c r="M135" s="87">
        <f t="shared" si="42"/>
        <v>55</v>
      </c>
      <c r="N135" s="87">
        <f t="shared" si="38"/>
        <v>55</v>
      </c>
      <c r="O135" s="81">
        <v>570</v>
      </c>
      <c r="P135" s="4">
        <v>2</v>
      </c>
      <c r="Q135" s="15" t="s">
        <v>62</v>
      </c>
      <c r="R135" s="15" t="s">
        <v>69</v>
      </c>
      <c r="S135" s="15">
        <v>2001</v>
      </c>
      <c r="T135" s="15" t="s">
        <v>70</v>
      </c>
    </row>
    <row r="136" spans="1:20" x14ac:dyDescent="0.3">
      <c r="A136" s="22">
        <v>55</v>
      </c>
      <c r="B136" s="87">
        <v>0</v>
      </c>
      <c r="C136" s="87">
        <f t="shared" si="36"/>
        <v>0</v>
      </c>
      <c r="D136" s="87">
        <f t="shared" si="37"/>
        <v>0</v>
      </c>
      <c r="E136" s="87">
        <f t="shared" si="39"/>
        <v>0</v>
      </c>
      <c r="F136" s="87">
        <f t="shared" si="39"/>
        <v>0</v>
      </c>
      <c r="G136" s="87">
        <f>F136+13</f>
        <v>13</v>
      </c>
      <c r="H136" s="87">
        <f t="shared" si="40"/>
        <v>13</v>
      </c>
      <c r="I136" s="87">
        <f t="shared" si="40"/>
        <v>13</v>
      </c>
      <c r="J136" s="87">
        <f>I136+21</f>
        <v>34</v>
      </c>
      <c r="K136" s="87">
        <f t="shared" si="41"/>
        <v>34</v>
      </c>
      <c r="L136" s="87">
        <f>K136+21</f>
        <v>55</v>
      </c>
      <c r="M136" s="87">
        <f t="shared" si="42"/>
        <v>55</v>
      </c>
      <c r="N136" s="87">
        <f t="shared" si="38"/>
        <v>55</v>
      </c>
      <c r="O136" s="81">
        <v>180</v>
      </c>
      <c r="P136" s="4">
        <v>3</v>
      </c>
      <c r="Q136" s="15" t="s">
        <v>62</v>
      </c>
      <c r="R136" s="15" t="s">
        <v>69</v>
      </c>
      <c r="S136" s="15">
        <v>2001</v>
      </c>
      <c r="T136" s="15" t="s">
        <v>70</v>
      </c>
    </row>
    <row r="137" spans="1:20" x14ac:dyDescent="0.3">
      <c r="A137" s="22">
        <v>55</v>
      </c>
      <c r="B137" s="87">
        <v>0</v>
      </c>
      <c r="C137" s="87">
        <f t="shared" si="36"/>
        <v>0</v>
      </c>
      <c r="D137" s="87">
        <f t="shared" si="37"/>
        <v>0</v>
      </c>
      <c r="E137" s="87">
        <f t="shared" si="39"/>
        <v>0</v>
      </c>
      <c r="F137" s="87">
        <f t="shared" si="39"/>
        <v>0</v>
      </c>
      <c r="G137" s="87">
        <f>F137+9</f>
        <v>9</v>
      </c>
      <c r="H137" s="87">
        <f t="shared" si="40"/>
        <v>9</v>
      </c>
      <c r="I137" s="87">
        <f t="shared" si="40"/>
        <v>9</v>
      </c>
      <c r="J137" s="87">
        <f>I137+32</f>
        <v>41</v>
      </c>
      <c r="K137" s="87">
        <f t="shared" si="41"/>
        <v>41</v>
      </c>
      <c r="L137" s="87">
        <f>K137+14</f>
        <v>55</v>
      </c>
      <c r="M137" s="87">
        <f t="shared" si="42"/>
        <v>55</v>
      </c>
      <c r="N137" s="87">
        <f t="shared" si="38"/>
        <v>55</v>
      </c>
      <c r="O137" s="81">
        <v>540</v>
      </c>
      <c r="P137" s="4">
        <v>3</v>
      </c>
      <c r="Q137" s="15" t="s">
        <v>62</v>
      </c>
      <c r="R137" s="15" t="s">
        <v>69</v>
      </c>
      <c r="S137" s="15">
        <v>2001</v>
      </c>
      <c r="T137" s="15" t="s">
        <v>70</v>
      </c>
    </row>
    <row r="138" spans="1:20" x14ac:dyDescent="0.3">
      <c r="A138" s="22">
        <v>55</v>
      </c>
      <c r="B138" s="87">
        <v>0</v>
      </c>
      <c r="C138" s="87">
        <f t="shared" si="36"/>
        <v>0</v>
      </c>
      <c r="D138" s="87">
        <f t="shared" si="37"/>
        <v>0</v>
      </c>
      <c r="E138" s="87">
        <f t="shared" si="39"/>
        <v>0</v>
      </c>
      <c r="F138" s="87">
        <f t="shared" si="39"/>
        <v>0</v>
      </c>
      <c r="G138" s="87">
        <f>F138+3</f>
        <v>3</v>
      </c>
      <c r="H138" s="87">
        <f t="shared" si="40"/>
        <v>3</v>
      </c>
      <c r="I138" s="87">
        <f t="shared" si="40"/>
        <v>3</v>
      </c>
      <c r="J138" s="87">
        <f>I138+22</f>
        <v>25</v>
      </c>
      <c r="K138" s="87">
        <f t="shared" si="41"/>
        <v>25</v>
      </c>
      <c r="L138" s="87">
        <f>K138+30</f>
        <v>55</v>
      </c>
      <c r="M138" s="87">
        <f t="shared" si="42"/>
        <v>55</v>
      </c>
      <c r="N138" s="87">
        <f t="shared" si="38"/>
        <v>55</v>
      </c>
      <c r="O138" s="81">
        <v>570</v>
      </c>
      <c r="P138" s="4">
        <v>3</v>
      </c>
      <c r="Q138" s="15" t="s">
        <v>62</v>
      </c>
      <c r="R138" s="15" t="s">
        <v>69</v>
      </c>
      <c r="S138" s="15">
        <v>2001</v>
      </c>
      <c r="T138" s="15" t="s">
        <v>70</v>
      </c>
    </row>
    <row r="139" spans="1:20" x14ac:dyDescent="0.3">
      <c r="A139" s="22">
        <v>32</v>
      </c>
      <c r="B139" s="87">
        <v>13</v>
      </c>
      <c r="C139" s="87">
        <f t="shared" si="36"/>
        <v>13</v>
      </c>
      <c r="D139" s="87">
        <f>C139+5</f>
        <v>18</v>
      </c>
      <c r="E139" s="87">
        <f>D139+10</f>
        <v>28</v>
      </c>
      <c r="F139" s="87">
        <f>E139+2</f>
        <v>30</v>
      </c>
      <c r="G139" s="87">
        <f>F139+1</f>
        <v>31</v>
      </c>
      <c r="H139" s="87">
        <f>G139+0</f>
        <v>31</v>
      </c>
      <c r="I139" s="87">
        <f>H139+1</f>
        <v>32</v>
      </c>
      <c r="J139" s="87">
        <f>I139+0</f>
        <v>32</v>
      </c>
      <c r="K139" s="87">
        <f t="shared" si="41"/>
        <v>32</v>
      </c>
      <c r="L139" s="87">
        <f>K139+0</f>
        <v>32</v>
      </c>
      <c r="M139" s="87">
        <f t="shared" si="42"/>
        <v>32</v>
      </c>
      <c r="N139" s="87">
        <f t="shared" si="38"/>
        <v>32</v>
      </c>
      <c r="O139" s="15">
        <v>2520</v>
      </c>
      <c r="P139" s="70">
        <v>1</v>
      </c>
      <c r="Q139" s="81" t="s">
        <v>330</v>
      </c>
      <c r="R139" s="81" t="s">
        <v>150</v>
      </c>
      <c r="S139" s="81">
        <v>1984</v>
      </c>
      <c r="T139" s="81" t="s">
        <v>151</v>
      </c>
    </row>
    <row r="140" spans="1:20" x14ac:dyDescent="0.3">
      <c r="A140" s="22">
        <v>32</v>
      </c>
      <c r="B140" s="87">
        <v>1</v>
      </c>
      <c r="C140" s="87">
        <f t="shared" si="36"/>
        <v>1</v>
      </c>
      <c r="D140" s="87">
        <f>C140+0</f>
        <v>1</v>
      </c>
      <c r="E140" s="87">
        <f>D140+2</f>
        <v>3</v>
      </c>
      <c r="F140" s="87">
        <f>E140+1</f>
        <v>4</v>
      </c>
      <c r="G140" s="87">
        <f>F140+2</f>
        <v>6</v>
      </c>
      <c r="H140" s="87">
        <f>G140+0</f>
        <v>6</v>
      </c>
      <c r="I140" s="87">
        <f>H140+5</f>
        <v>11</v>
      </c>
      <c r="J140" s="87">
        <f>I140+2</f>
        <v>13</v>
      </c>
      <c r="K140" s="87">
        <f>J140+4</f>
        <v>17</v>
      </c>
      <c r="L140" s="87">
        <f>K140+2</f>
        <v>19</v>
      </c>
      <c r="M140" s="87">
        <f>L140+7</f>
        <v>26</v>
      </c>
      <c r="N140" s="87">
        <f>M140+6</f>
        <v>32</v>
      </c>
      <c r="O140" s="81">
        <v>2543</v>
      </c>
      <c r="P140" s="70">
        <v>1</v>
      </c>
      <c r="Q140" s="81" t="s">
        <v>330</v>
      </c>
      <c r="R140" s="81" t="s">
        <v>150</v>
      </c>
      <c r="S140" s="81">
        <v>1984</v>
      </c>
      <c r="T140" s="81" t="s">
        <v>151</v>
      </c>
    </row>
    <row r="141" spans="1:20" x14ac:dyDescent="0.3">
      <c r="A141" s="22">
        <v>14</v>
      </c>
      <c r="B141" s="87">
        <v>3</v>
      </c>
      <c r="C141" s="87">
        <f t="shared" si="36"/>
        <v>3</v>
      </c>
      <c r="D141" s="87">
        <f>C141+0</f>
        <v>3</v>
      </c>
      <c r="E141" s="87">
        <f>D141+2</f>
        <v>5</v>
      </c>
      <c r="F141" s="87">
        <f>E141+1</f>
        <v>6</v>
      </c>
      <c r="G141" s="87">
        <f>F141+5</f>
        <v>11</v>
      </c>
      <c r="H141" s="87">
        <f>G141+2</f>
        <v>13</v>
      </c>
      <c r="I141" s="87">
        <f>H141+1</f>
        <v>14</v>
      </c>
      <c r="J141" s="87">
        <f t="shared" ref="J141:N142" si="43">I141+0</f>
        <v>14</v>
      </c>
      <c r="K141" s="87">
        <f t="shared" si="43"/>
        <v>14</v>
      </c>
      <c r="L141" s="87">
        <f t="shared" si="43"/>
        <v>14</v>
      </c>
      <c r="M141" s="87">
        <f t="shared" si="43"/>
        <v>14</v>
      </c>
      <c r="N141" s="87">
        <f t="shared" si="43"/>
        <v>14</v>
      </c>
      <c r="O141" s="81">
        <v>515</v>
      </c>
      <c r="P141" s="70">
        <v>1</v>
      </c>
      <c r="Q141" s="81" t="s">
        <v>325</v>
      </c>
      <c r="R141" s="81" t="s">
        <v>150</v>
      </c>
      <c r="S141" s="81">
        <v>1984</v>
      </c>
      <c r="T141" s="81" t="s">
        <v>151</v>
      </c>
    </row>
    <row r="142" spans="1:20" x14ac:dyDescent="0.3">
      <c r="A142" s="22">
        <v>14</v>
      </c>
      <c r="B142" s="87">
        <v>5</v>
      </c>
      <c r="C142" s="87">
        <f t="shared" si="36"/>
        <v>5</v>
      </c>
      <c r="D142" s="87">
        <f>C142+1</f>
        <v>6</v>
      </c>
      <c r="E142" s="87">
        <f>D142+8</f>
        <v>14</v>
      </c>
      <c r="F142" s="87">
        <f>E142+0</f>
        <v>14</v>
      </c>
      <c r="G142" s="87">
        <f>F142+0</f>
        <v>14</v>
      </c>
      <c r="H142" s="87">
        <f>G142+0</f>
        <v>14</v>
      </c>
      <c r="I142" s="87">
        <f>H142+0</f>
        <v>14</v>
      </c>
      <c r="J142" s="87">
        <f t="shared" si="43"/>
        <v>14</v>
      </c>
      <c r="K142" s="87">
        <f t="shared" si="43"/>
        <v>14</v>
      </c>
      <c r="L142" s="87">
        <f t="shared" si="43"/>
        <v>14</v>
      </c>
      <c r="M142" s="87">
        <f t="shared" si="43"/>
        <v>14</v>
      </c>
      <c r="N142" s="87">
        <f t="shared" si="43"/>
        <v>14</v>
      </c>
      <c r="O142" s="81">
        <v>1975</v>
      </c>
      <c r="P142" s="70">
        <v>1</v>
      </c>
      <c r="Q142" s="81" t="s">
        <v>325</v>
      </c>
      <c r="R142" s="81" t="s">
        <v>150</v>
      </c>
      <c r="S142" s="81">
        <v>1984</v>
      </c>
      <c r="T142" s="81" t="s">
        <v>151</v>
      </c>
    </row>
    <row r="143" spans="1:20" x14ac:dyDescent="0.3">
      <c r="A143" s="22">
        <v>14</v>
      </c>
      <c r="B143" s="87">
        <v>0</v>
      </c>
      <c r="C143" s="87">
        <f t="shared" si="36"/>
        <v>0</v>
      </c>
      <c r="D143" s="87">
        <f>C143+0</f>
        <v>0</v>
      </c>
      <c r="E143" s="87">
        <f>D143+0</f>
        <v>0</v>
      </c>
      <c r="F143" s="87">
        <f>E143+0</f>
        <v>0</v>
      </c>
      <c r="G143" s="87">
        <f>F143+1</f>
        <v>1</v>
      </c>
      <c r="H143" s="87">
        <f>G143+0</f>
        <v>1</v>
      </c>
      <c r="I143" s="87">
        <f>H143+2</f>
        <v>3</v>
      </c>
      <c r="J143" s="87">
        <f>I143+0</f>
        <v>3</v>
      </c>
      <c r="K143" s="87">
        <f>J143+4</f>
        <v>7</v>
      </c>
      <c r="L143" s="87">
        <f>K143+7</f>
        <v>14</v>
      </c>
      <c r="M143" s="87">
        <f t="shared" ref="M143:N153" si="44">L143+0</f>
        <v>14</v>
      </c>
      <c r="N143" s="87">
        <f t="shared" si="44"/>
        <v>14</v>
      </c>
      <c r="O143" s="81">
        <v>2340</v>
      </c>
      <c r="P143" s="70">
        <v>1</v>
      </c>
      <c r="Q143" s="81" t="s">
        <v>325</v>
      </c>
      <c r="R143" s="81" t="s">
        <v>150</v>
      </c>
      <c r="S143" s="81">
        <v>1984</v>
      </c>
      <c r="T143" s="81" t="s">
        <v>151</v>
      </c>
    </row>
    <row r="144" spans="1:20" x14ac:dyDescent="0.3">
      <c r="A144" s="22">
        <v>14</v>
      </c>
      <c r="B144" s="87">
        <v>0</v>
      </c>
      <c r="C144" s="87">
        <f t="shared" si="36"/>
        <v>0</v>
      </c>
      <c r="D144" s="87">
        <f t="shared" ref="D144:D150" si="45">C144+0</f>
        <v>0</v>
      </c>
      <c r="E144" s="87">
        <f>D144+2</f>
        <v>2</v>
      </c>
      <c r="F144" s="87">
        <f>E144+1</f>
        <v>3</v>
      </c>
      <c r="G144" s="87">
        <f>F144+8</f>
        <v>11</v>
      </c>
      <c r="H144" s="87">
        <f>G144+1</f>
        <v>12</v>
      </c>
      <c r="I144" s="87">
        <f>H144+2</f>
        <v>14</v>
      </c>
      <c r="J144" s="87">
        <f>I144+0</f>
        <v>14</v>
      </c>
      <c r="K144" s="87">
        <f t="shared" ref="K144:L153" si="46">J144+0</f>
        <v>14</v>
      </c>
      <c r="L144" s="87">
        <f t="shared" si="46"/>
        <v>14</v>
      </c>
      <c r="M144" s="87">
        <f t="shared" si="44"/>
        <v>14</v>
      </c>
      <c r="N144" s="87">
        <f t="shared" si="44"/>
        <v>14</v>
      </c>
      <c r="O144" s="81">
        <v>3070</v>
      </c>
      <c r="P144" s="70">
        <v>1</v>
      </c>
      <c r="Q144" s="81" t="s">
        <v>325</v>
      </c>
      <c r="R144" s="81" t="s">
        <v>150</v>
      </c>
      <c r="S144" s="81">
        <v>1984</v>
      </c>
      <c r="T144" s="81" t="s">
        <v>151</v>
      </c>
    </row>
    <row r="145" spans="1:21" x14ac:dyDescent="0.3">
      <c r="A145" s="22">
        <v>14</v>
      </c>
      <c r="B145" s="87">
        <v>0</v>
      </c>
      <c r="C145" s="87">
        <f t="shared" si="36"/>
        <v>0</v>
      </c>
      <c r="D145" s="87">
        <f t="shared" si="45"/>
        <v>0</v>
      </c>
      <c r="E145" s="87">
        <f>D145+4</f>
        <v>4</v>
      </c>
      <c r="F145" s="87">
        <f>E145+4</f>
        <v>8</v>
      </c>
      <c r="G145" s="87">
        <f>F145+5</f>
        <v>13</v>
      </c>
      <c r="H145" s="87">
        <f>G145+1</f>
        <v>14</v>
      </c>
      <c r="I145" s="87">
        <f>H145+0</f>
        <v>14</v>
      </c>
      <c r="J145" s="87">
        <f>I145+0</f>
        <v>14</v>
      </c>
      <c r="K145" s="87">
        <f t="shared" si="46"/>
        <v>14</v>
      </c>
      <c r="L145" s="87">
        <f t="shared" si="46"/>
        <v>14</v>
      </c>
      <c r="M145" s="87">
        <f t="shared" si="44"/>
        <v>14</v>
      </c>
      <c r="N145" s="87">
        <f t="shared" si="44"/>
        <v>14</v>
      </c>
      <c r="O145" s="81">
        <v>3800</v>
      </c>
      <c r="P145" s="70">
        <v>1</v>
      </c>
      <c r="Q145" s="81" t="s">
        <v>325</v>
      </c>
      <c r="R145" s="81" t="s">
        <v>150</v>
      </c>
      <c r="S145" s="81">
        <v>1984</v>
      </c>
      <c r="T145" s="81" t="s">
        <v>151</v>
      </c>
    </row>
    <row r="146" spans="1:21" x14ac:dyDescent="0.3">
      <c r="A146" s="22">
        <v>24</v>
      </c>
      <c r="B146" s="87">
        <v>0</v>
      </c>
      <c r="C146" s="87">
        <f t="shared" si="36"/>
        <v>0</v>
      </c>
      <c r="D146" s="87">
        <f t="shared" si="45"/>
        <v>0</v>
      </c>
      <c r="E146" s="87">
        <f>D146+0</f>
        <v>0</v>
      </c>
      <c r="F146" s="87">
        <f>E146+4</f>
        <v>4</v>
      </c>
      <c r="G146" s="87">
        <f>F146+7</f>
        <v>11</v>
      </c>
      <c r="H146" s="87">
        <f>G146+4</f>
        <v>15</v>
      </c>
      <c r="I146" s="87">
        <f>H146+8</f>
        <v>23</v>
      </c>
      <c r="J146" s="87">
        <f>I146+1</f>
        <v>24</v>
      </c>
      <c r="K146" s="87">
        <f t="shared" si="46"/>
        <v>24</v>
      </c>
      <c r="L146" s="87">
        <f t="shared" si="46"/>
        <v>24</v>
      </c>
      <c r="M146" s="87">
        <f t="shared" si="44"/>
        <v>24</v>
      </c>
      <c r="N146" s="87">
        <f t="shared" si="44"/>
        <v>24</v>
      </c>
      <c r="O146" s="81">
        <v>515</v>
      </c>
      <c r="P146" s="70">
        <v>1</v>
      </c>
      <c r="Q146" s="81" t="s">
        <v>324</v>
      </c>
      <c r="R146" s="81" t="s">
        <v>150</v>
      </c>
      <c r="S146" s="81">
        <v>1984</v>
      </c>
      <c r="T146" s="81" t="s">
        <v>151</v>
      </c>
    </row>
    <row r="147" spans="1:21" x14ac:dyDescent="0.3">
      <c r="A147" s="22">
        <v>24</v>
      </c>
      <c r="B147" s="87">
        <v>0</v>
      </c>
      <c r="C147" s="87">
        <f t="shared" si="36"/>
        <v>0</v>
      </c>
      <c r="D147" s="87">
        <f t="shared" si="45"/>
        <v>0</v>
      </c>
      <c r="E147" s="87">
        <f>D147+0</f>
        <v>0</v>
      </c>
      <c r="F147" s="87">
        <f>E147+7</f>
        <v>7</v>
      </c>
      <c r="G147" s="87">
        <f>F147+9</f>
        <v>16</v>
      </c>
      <c r="H147" s="87">
        <f>G147+3</f>
        <v>19</v>
      </c>
      <c r="I147" s="87">
        <f>H147+4</f>
        <v>23</v>
      </c>
      <c r="J147" s="87">
        <f>I147+1</f>
        <v>24</v>
      </c>
      <c r="K147" s="87">
        <f t="shared" si="46"/>
        <v>24</v>
      </c>
      <c r="L147" s="87">
        <f t="shared" si="46"/>
        <v>24</v>
      </c>
      <c r="M147" s="87">
        <f t="shared" si="44"/>
        <v>24</v>
      </c>
      <c r="N147" s="87">
        <f t="shared" si="44"/>
        <v>24</v>
      </c>
      <c r="O147" s="81">
        <v>880</v>
      </c>
      <c r="P147" s="70">
        <v>1</v>
      </c>
      <c r="Q147" s="81" t="s">
        <v>324</v>
      </c>
      <c r="R147" s="81" t="s">
        <v>150</v>
      </c>
      <c r="S147" s="81">
        <v>1984</v>
      </c>
      <c r="T147" s="81" t="s">
        <v>151</v>
      </c>
    </row>
    <row r="148" spans="1:21" x14ac:dyDescent="0.3">
      <c r="A148" s="22">
        <v>30</v>
      </c>
      <c r="B148" s="87">
        <v>0</v>
      </c>
      <c r="C148" s="87">
        <f t="shared" si="36"/>
        <v>0</v>
      </c>
      <c r="D148" s="87">
        <f t="shared" si="45"/>
        <v>0</v>
      </c>
      <c r="E148" s="87">
        <f>D148+0</f>
        <v>0</v>
      </c>
      <c r="F148" s="87">
        <f>E148+9</f>
        <v>9</v>
      </c>
      <c r="G148" s="87">
        <f>F148+14</f>
        <v>23</v>
      </c>
      <c r="H148" s="87">
        <f>G148+4</f>
        <v>27</v>
      </c>
      <c r="I148" s="87">
        <f>H148+3</f>
        <v>30</v>
      </c>
      <c r="J148" s="87">
        <f t="shared" ref="J148:J153" si="47">I148+0</f>
        <v>30</v>
      </c>
      <c r="K148" s="87">
        <f t="shared" si="46"/>
        <v>30</v>
      </c>
      <c r="L148" s="87">
        <f t="shared" si="46"/>
        <v>30</v>
      </c>
      <c r="M148" s="87">
        <f t="shared" si="44"/>
        <v>30</v>
      </c>
      <c r="N148" s="87">
        <f t="shared" si="44"/>
        <v>30</v>
      </c>
      <c r="O148" s="81">
        <v>1245</v>
      </c>
      <c r="P148" s="70">
        <v>1</v>
      </c>
      <c r="Q148" s="81" t="s">
        <v>324</v>
      </c>
      <c r="R148" s="81" t="s">
        <v>150</v>
      </c>
      <c r="S148" s="81">
        <v>1984</v>
      </c>
      <c r="T148" s="81" t="s">
        <v>151</v>
      </c>
    </row>
    <row r="149" spans="1:21" x14ac:dyDescent="0.3">
      <c r="A149" s="22">
        <v>31</v>
      </c>
      <c r="B149" s="87">
        <v>0</v>
      </c>
      <c r="C149" s="87">
        <f t="shared" si="36"/>
        <v>0</v>
      </c>
      <c r="D149" s="87">
        <f t="shared" si="45"/>
        <v>0</v>
      </c>
      <c r="E149" s="87">
        <f>D149+0</f>
        <v>0</v>
      </c>
      <c r="F149" s="87">
        <f>E149+12</f>
        <v>12</v>
      </c>
      <c r="G149" s="87">
        <f>F149+14</f>
        <v>26</v>
      </c>
      <c r="H149" s="87">
        <f>G149+1</f>
        <v>27</v>
      </c>
      <c r="I149" s="87">
        <f>H149+4</f>
        <v>31</v>
      </c>
      <c r="J149" s="87">
        <f t="shared" si="47"/>
        <v>31</v>
      </c>
      <c r="K149" s="87">
        <f t="shared" si="46"/>
        <v>31</v>
      </c>
      <c r="L149" s="87">
        <f t="shared" si="46"/>
        <v>31</v>
      </c>
      <c r="M149" s="87">
        <f t="shared" si="44"/>
        <v>31</v>
      </c>
      <c r="N149" s="87">
        <f t="shared" si="44"/>
        <v>31</v>
      </c>
      <c r="O149" s="81">
        <v>1610</v>
      </c>
      <c r="P149" s="70">
        <v>1</v>
      </c>
      <c r="Q149" s="81" t="s">
        <v>324</v>
      </c>
      <c r="R149" s="81" t="s">
        <v>150</v>
      </c>
      <c r="S149" s="81">
        <v>1984</v>
      </c>
      <c r="T149" s="81" t="s">
        <v>151</v>
      </c>
    </row>
    <row r="150" spans="1:21" x14ac:dyDescent="0.3">
      <c r="A150" s="22">
        <v>30</v>
      </c>
      <c r="B150" s="87">
        <v>0</v>
      </c>
      <c r="C150" s="87">
        <f t="shared" si="36"/>
        <v>0</v>
      </c>
      <c r="D150" s="87">
        <f t="shared" si="45"/>
        <v>0</v>
      </c>
      <c r="E150" s="87">
        <f>D150+0</f>
        <v>0</v>
      </c>
      <c r="F150" s="87">
        <f>E150+14</f>
        <v>14</v>
      </c>
      <c r="G150" s="87">
        <f>F150+9</f>
        <v>23</v>
      </c>
      <c r="H150" s="87">
        <f>G150+3</f>
        <v>26</v>
      </c>
      <c r="I150" s="87">
        <f>H150+4</f>
        <v>30</v>
      </c>
      <c r="J150" s="87">
        <f t="shared" si="47"/>
        <v>30</v>
      </c>
      <c r="K150" s="87">
        <f t="shared" si="46"/>
        <v>30</v>
      </c>
      <c r="L150" s="87">
        <f t="shared" si="46"/>
        <v>30</v>
      </c>
      <c r="M150" s="87">
        <f t="shared" si="44"/>
        <v>30</v>
      </c>
      <c r="N150" s="87">
        <f t="shared" si="44"/>
        <v>30</v>
      </c>
      <c r="O150" s="81">
        <v>1975</v>
      </c>
      <c r="P150" s="70">
        <v>1</v>
      </c>
      <c r="Q150" s="81" t="s">
        <v>324</v>
      </c>
      <c r="R150" s="81" t="s">
        <v>150</v>
      </c>
      <c r="S150" s="81">
        <v>1984</v>
      </c>
      <c r="T150" s="81" t="s">
        <v>151</v>
      </c>
    </row>
    <row r="151" spans="1:21" x14ac:dyDescent="0.3">
      <c r="A151" s="22">
        <v>32</v>
      </c>
      <c r="B151" s="87">
        <v>0</v>
      </c>
      <c r="C151" s="87">
        <f t="shared" si="36"/>
        <v>0</v>
      </c>
      <c r="D151" s="87">
        <f>C151+2</f>
        <v>2</v>
      </c>
      <c r="E151" s="87">
        <f>D151+6</f>
        <v>8</v>
      </c>
      <c r="F151" s="87">
        <f>E151+7</f>
        <v>15</v>
      </c>
      <c r="G151" s="87">
        <f>F151+9</f>
        <v>24</v>
      </c>
      <c r="H151" s="87">
        <f>G151+4</f>
        <v>28</v>
      </c>
      <c r="I151" s="87">
        <f>H151+4</f>
        <v>32</v>
      </c>
      <c r="J151" s="87">
        <f t="shared" si="47"/>
        <v>32</v>
      </c>
      <c r="K151" s="87">
        <f t="shared" si="46"/>
        <v>32</v>
      </c>
      <c r="L151" s="87">
        <f t="shared" si="46"/>
        <v>32</v>
      </c>
      <c r="M151" s="87">
        <f t="shared" si="44"/>
        <v>32</v>
      </c>
      <c r="N151" s="87">
        <f t="shared" si="44"/>
        <v>32</v>
      </c>
      <c r="O151" s="81">
        <v>2340</v>
      </c>
      <c r="P151" s="4">
        <v>1</v>
      </c>
      <c r="Q151" s="15" t="s">
        <v>324</v>
      </c>
      <c r="R151" s="15" t="s">
        <v>150</v>
      </c>
      <c r="S151" s="15">
        <v>1984</v>
      </c>
      <c r="T151" s="15" t="s">
        <v>151</v>
      </c>
    </row>
    <row r="152" spans="1:21" s="85" customFormat="1" x14ac:dyDescent="0.3">
      <c r="A152" s="86">
        <v>30</v>
      </c>
      <c r="B152" s="87">
        <v>4</v>
      </c>
      <c r="C152" s="87">
        <f t="shared" si="36"/>
        <v>4</v>
      </c>
      <c r="D152" s="87">
        <f>C152+2</f>
        <v>6</v>
      </c>
      <c r="E152" s="87">
        <f>D152+8</f>
        <v>14</v>
      </c>
      <c r="F152" s="87">
        <f>E152+3</f>
        <v>17</v>
      </c>
      <c r="G152" s="87">
        <f>F152+10</f>
        <v>27</v>
      </c>
      <c r="H152" s="87">
        <f>G152+1</f>
        <v>28</v>
      </c>
      <c r="I152" s="87">
        <f>H152+2</f>
        <v>30</v>
      </c>
      <c r="J152" s="87">
        <f t="shared" si="47"/>
        <v>30</v>
      </c>
      <c r="K152" s="87">
        <f t="shared" si="46"/>
        <v>30</v>
      </c>
      <c r="L152" s="87">
        <f t="shared" si="46"/>
        <v>30</v>
      </c>
      <c r="M152" s="87">
        <f t="shared" si="44"/>
        <v>30</v>
      </c>
      <c r="N152" s="87">
        <f t="shared" si="44"/>
        <v>30</v>
      </c>
      <c r="O152" s="81">
        <v>3070</v>
      </c>
      <c r="P152" s="70">
        <v>1</v>
      </c>
      <c r="Q152" s="81" t="s">
        <v>324</v>
      </c>
      <c r="R152" s="81" t="s">
        <v>150</v>
      </c>
      <c r="S152" s="81">
        <v>1984</v>
      </c>
      <c r="T152" s="81" t="s">
        <v>151</v>
      </c>
      <c r="U152" s="81"/>
    </row>
    <row r="153" spans="1:21" s="85" customFormat="1" x14ac:dyDescent="0.3">
      <c r="A153" s="86">
        <v>29</v>
      </c>
      <c r="B153" s="87">
        <v>8</v>
      </c>
      <c r="C153" s="87">
        <f t="shared" si="36"/>
        <v>8</v>
      </c>
      <c r="D153" s="87">
        <f>C153+5</f>
        <v>13</v>
      </c>
      <c r="E153" s="87">
        <f>D153+9</f>
        <v>22</v>
      </c>
      <c r="F153" s="87">
        <f>E153+0</f>
        <v>22</v>
      </c>
      <c r="G153" s="87">
        <f>F153+7</f>
        <v>29</v>
      </c>
      <c r="H153" s="87">
        <f>G153+0</f>
        <v>29</v>
      </c>
      <c r="I153" s="87">
        <f>H153+0</f>
        <v>29</v>
      </c>
      <c r="J153" s="87">
        <f t="shared" si="47"/>
        <v>29</v>
      </c>
      <c r="K153" s="87">
        <f t="shared" si="46"/>
        <v>29</v>
      </c>
      <c r="L153" s="87">
        <f t="shared" si="46"/>
        <v>29</v>
      </c>
      <c r="M153" s="87">
        <f t="shared" si="44"/>
        <v>29</v>
      </c>
      <c r="N153" s="87">
        <f t="shared" si="44"/>
        <v>29</v>
      </c>
      <c r="O153" s="81">
        <v>3800</v>
      </c>
      <c r="P153" s="70">
        <v>1</v>
      </c>
      <c r="Q153" s="81" t="s">
        <v>324</v>
      </c>
      <c r="R153" s="81" t="s">
        <v>150</v>
      </c>
      <c r="S153" s="81">
        <v>1984</v>
      </c>
      <c r="T153" s="81" t="s">
        <v>151</v>
      </c>
      <c r="U153" s="81"/>
    </row>
    <row r="154" spans="1:21" s="85" customFormat="1" x14ac:dyDescent="0.3">
      <c r="A154" s="86">
        <v>32</v>
      </c>
      <c r="B154" s="87">
        <v>0</v>
      </c>
      <c r="C154" s="87">
        <f t="shared" si="36"/>
        <v>0</v>
      </c>
      <c r="D154" s="87">
        <f>C154+1</f>
        <v>1</v>
      </c>
      <c r="E154" s="87">
        <f>D154+4</f>
        <v>5</v>
      </c>
      <c r="F154" s="87">
        <f>E154+0</f>
        <v>5</v>
      </c>
      <c r="G154" s="87">
        <f>F154+7</f>
        <v>12</v>
      </c>
      <c r="H154" s="87">
        <f>G154+4</f>
        <v>16</v>
      </c>
      <c r="I154" s="87">
        <f>H154+10</f>
        <v>26</v>
      </c>
      <c r="J154" s="87">
        <f>I154+3</f>
        <v>29</v>
      </c>
      <c r="K154" s="87">
        <f>J154+1</f>
        <v>30</v>
      </c>
      <c r="L154" s="87">
        <f>K154+0</f>
        <v>30</v>
      </c>
      <c r="M154" s="87">
        <f>L154+2</f>
        <v>32</v>
      </c>
      <c r="N154" s="87">
        <f>M154+0</f>
        <v>32</v>
      </c>
      <c r="O154" s="81">
        <v>2520</v>
      </c>
      <c r="P154" s="70">
        <v>2</v>
      </c>
      <c r="Q154" s="81" t="s">
        <v>330</v>
      </c>
      <c r="R154" s="81" t="s">
        <v>150</v>
      </c>
      <c r="S154" s="81">
        <v>1984</v>
      </c>
      <c r="T154" s="81" t="s">
        <v>151</v>
      </c>
      <c r="U154" s="81"/>
    </row>
    <row r="155" spans="1:21" x14ac:dyDescent="0.3">
      <c r="A155" s="22">
        <v>32</v>
      </c>
      <c r="B155" s="87">
        <v>0</v>
      </c>
      <c r="C155" s="87">
        <f t="shared" si="36"/>
        <v>0</v>
      </c>
      <c r="D155" s="87">
        <f>C155+0</f>
        <v>0</v>
      </c>
      <c r="E155" s="87">
        <f>D155+0</f>
        <v>0</v>
      </c>
      <c r="F155" s="87">
        <f>E155+1</f>
        <v>1</v>
      </c>
      <c r="G155" s="87">
        <f>F155+2</f>
        <v>3</v>
      </c>
      <c r="H155" s="87">
        <f>G155+1</f>
        <v>4</v>
      </c>
      <c r="I155" s="87">
        <f>H155+3</f>
        <v>7</v>
      </c>
      <c r="J155" s="87">
        <f>I155+1</f>
        <v>8</v>
      </c>
      <c r="K155" s="87">
        <f>J155+3</f>
        <v>11</v>
      </c>
      <c r="L155" s="87">
        <f>K155+2</f>
        <v>13</v>
      </c>
      <c r="M155" s="87">
        <f>L155+10</f>
        <v>23</v>
      </c>
      <c r="N155" s="87">
        <f>M155+9</f>
        <v>32</v>
      </c>
      <c r="O155" s="81">
        <v>2543</v>
      </c>
      <c r="P155" s="4">
        <v>2</v>
      </c>
      <c r="Q155" s="15" t="s">
        <v>330</v>
      </c>
      <c r="R155" s="15" t="s">
        <v>150</v>
      </c>
      <c r="S155" s="15">
        <v>1984</v>
      </c>
      <c r="T155" s="15" t="s">
        <v>151</v>
      </c>
    </row>
    <row r="156" spans="1:21" x14ac:dyDescent="0.3">
      <c r="A156" s="22">
        <v>6</v>
      </c>
      <c r="B156" s="87">
        <v>0</v>
      </c>
      <c r="C156" s="87">
        <f t="shared" si="36"/>
        <v>0</v>
      </c>
      <c r="D156" s="87">
        <f t="shared" ref="D156:D167" si="48">C156+0</f>
        <v>0</v>
      </c>
      <c r="E156" s="87">
        <f>D156+1</f>
        <v>1</v>
      </c>
      <c r="F156" s="87">
        <f t="shared" ref="F156:F162" si="49">E156+0</f>
        <v>1</v>
      </c>
      <c r="G156" s="87">
        <f>F156+2</f>
        <v>3</v>
      </c>
      <c r="H156" s="87">
        <f>G156+2</f>
        <v>5</v>
      </c>
      <c r="I156" s="87">
        <f>H156+1</f>
        <v>6</v>
      </c>
      <c r="J156" s="87">
        <f t="shared" ref="J156:N157" si="50">I156+0</f>
        <v>6</v>
      </c>
      <c r="K156" s="87">
        <f t="shared" si="50"/>
        <v>6</v>
      </c>
      <c r="L156" s="87">
        <f t="shared" si="50"/>
        <v>6</v>
      </c>
      <c r="M156" s="87">
        <f t="shared" si="50"/>
        <v>6</v>
      </c>
      <c r="N156" s="87">
        <f t="shared" si="50"/>
        <v>6</v>
      </c>
      <c r="O156" s="81">
        <v>515</v>
      </c>
      <c r="P156" s="4">
        <v>2</v>
      </c>
      <c r="Q156" s="15" t="s">
        <v>325</v>
      </c>
      <c r="R156" s="15" t="s">
        <v>150</v>
      </c>
      <c r="S156" s="15">
        <v>1984</v>
      </c>
      <c r="T156" s="15" t="s">
        <v>151</v>
      </c>
    </row>
    <row r="157" spans="1:21" x14ac:dyDescent="0.3">
      <c r="A157" s="86">
        <v>6</v>
      </c>
      <c r="B157" s="87">
        <v>3</v>
      </c>
      <c r="C157" s="87">
        <f t="shared" si="36"/>
        <v>3</v>
      </c>
      <c r="D157" s="87">
        <f t="shared" si="48"/>
        <v>3</v>
      </c>
      <c r="E157" s="87">
        <f>D157+3</f>
        <v>6</v>
      </c>
      <c r="F157" s="87">
        <f t="shared" si="49"/>
        <v>6</v>
      </c>
      <c r="G157" s="87">
        <f t="shared" ref="G157:I158" si="51">F157+0</f>
        <v>6</v>
      </c>
      <c r="H157" s="87">
        <f t="shared" si="51"/>
        <v>6</v>
      </c>
      <c r="I157" s="87">
        <f t="shared" si="51"/>
        <v>6</v>
      </c>
      <c r="J157" s="87">
        <f t="shared" si="50"/>
        <v>6</v>
      </c>
      <c r="K157" s="87">
        <f t="shared" si="50"/>
        <v>6</v>
      </c>
      <c r="L157" s="87">
        <f t="shared" si="50"/>
        <v>6</v>
      </c>
      <c r="M157" s="87">
        <f t="shared" si="50"/>
        <v>6</v>
      </c>
      <c r="N157" s="87">
        <f t="shared" si="50"/>
        <v>6</v>
      </c>
      <c r="O157" s="81">
        <v>1975</v>
      </c>
      <c r="P157" s="4">
        <v>2</v>
      </c>
      <c r="Q157" s="81" t="s">
        <v>325</v>
      </c>
      <c r="R157" s="15" t="s">
        <v>150</v>
      </c>
      <c r="S157" s="15">
        <v>1984</v>
      </c>
      <c r="T157" s="15" t="s">
        <v>151</v>
      </c>
    </row>
    <row r="158" spans="1:21" x14ac:dyDescent="0.3">
      <c r="A158" s="86">
        <v>6</v>
      </c>
      <c r="B158" s="87">
        <v>0</v>
      </c>
      <c r="C158" s="87">
        <f t="shared" si="36"/>
        <v>0</v>
      </c>
      <c r="D158" s="87">
        <f t="shared" si="48"/>
        <v>0</v>
      </c>
      <c r="E158" s="87">
        <f t="shared" ref="E158:E163" si="52">D158+0</f>
        <v>0</v>
      </c>
      <c r="F158" s="87">
        <f t="shared" si="49"/>
        <v>0</v>
      </c>
      <c r="G158" s="87">
        <f t="shared" si="51"/>
        <v>0</v>
      </c>
      <c r="H158" s="87">
        <f t="shared" si="51"/>
        <v>0</v>
      </c>
      <c r="I158" s="87">
        <f t="shared" si="51"/>
        <v>0</v>
      </c>
      <c r="J158" s="87">
        <f>I158+0</f>
        <v>0</v>
      </c>
      <c r="K158" s="87">
        <f>J158+1</f>
        <v>1</v>
      </c>
      <c r="L158" s="87">
        <f>K158+2</f>
        <v>3</v>
      </c>
      <c r="M158" s="87">
        <f>L158+3</f>
        <v>6</v>
      </c>
      <c r="N158" s="87">
        <f t="shared" ref="N158:N183" si="53">M158+0</f>
        <v>6</v>
      </c>
      <c r="O158" s="81">
        <v>2340</v>
      </c>
      <c r="P158" s="4">
        <v>2</v>
      </c>
      <c r="Q158" s="81" t="s">
        <v>325</v>
      </c>
      <c r="R158" s="15" t="s">
        <v>150</v>
      </c>
      <c r="S158" s="15">
        <v>1984</v>
      </c>
      <c r="T158" s="15" t="s">
        <v>151</v>
      </c>
    </row>
    <row r="159" spans="1:21" x14ac:dyDescent="0.3">
      <c r="A159" s="86">
        <v>6</v>
      </c>
      <c r="B159" s="87">
        <v>0</v>
      </c>
      <c r="C159" s="87">
        <f t="shared" ref="C159:C190" si="54">B159+0</f>
        <v>0</v>
      </c>
      <c r="D159" s="87">
        <f t="shared" si="48"/>
        <v>0</v>
      </c>
      <c r="E159" s="87">
        <f t="shared" si="52"/>
        <v>0</v>
      </c>
      <c r="F159" s="87">
        <f t="shared" si="49"/>
        <v>0</v>
      </c>
      <c r="G159" s="87">
        <f>F159+1</f>
        <v>1</v>
      </c>
      <c r="H159" s="87">
        <f>G159+1</f>
        <v>2</v>
      </c>
      <c r="I159" s="87">
        <f>H159+2</f>
        <v>4</v>
      </c>
      <c r="J159" s="87">
        <f>I159+0</f>
        <v>4</v>
      </c>
      <c r="K159" s="87">
        <f>J159+2</f>
        <v>6</v>
      </c>
      <c r="L159" s="87">
        <f>K159+0</f>
        <v>6</v>
      </c>
      <c r="M159" s="87">
        <f>L159+0</f>
        <v>6</v>
      </c>
      <c r="N159" s="87">
        <f t="shared" si="53"/>
        <v>6</v>
      </c>
      <c r="O159" s="81">
        <v>3070</v>
      </c>
      <c r="P159" s="4">
        <v>2</v>
      </c>
      <c r="Q159" s="81" t="s">
        <v>325</v>
      </c>
      <c r="R159" s="15" t="s">
        <v>150</v>
      </c>
      <c r="S159" s="15">
        <v>1984</v>
      </c>
      <c r="T159" s="15" t="s">
        <v>151</v>
      </c>
    </row>
    <row r="160" spans="1:21" s="85" customFormat="1" x14ac:dyDescent="0.3">
      <c r="A160" s="86">
        <v>6</v>
      </c>
      <c r="B160" s="87">
        <v>0</v>
      </c>
      <c r="C160" s="87">
        <f t="shared" si="54"/>
        <v>0</v>
      </c>
      <c r="D160" s="87">
        <f t="shared" si="48"/>
        <v>0</v>
      </c>
      <c r="E160" s="87">
        <f t="shared" si="52"/>
        <v>0</v>
      </c>
      <c r="F160" s="87">
        <f t="shared" si="49"/>
        <v>0</v>
      </c>
      <c r="G160" s="87">
        <f>F160+1</f>
        <v>1</v>
      </c>
      <c r="H160" s="87">
        <f>G160+1</f>
        <v>2</v>
      </c>
      <c r="I160" s="87">
        <f>H160+2</f>
        <v>4</v>
      </c>
      <c r="J160" s="87">
        <f>I160+1</f>
        <v>5</v>
      </c>
      <c r="K160" s="87">
        <f>J160+1</f>
        <v>6</v>
      </c>
      <c r="L160" s="87">
        <f>K160+0</f>
        <v>6</v>
      </c>
      <c r="M160" s="87">
        <f>L160+0</f>
        <v>6</v>
      </c>
      <c r="N160" s="87">
        <f t="shared" si="53"/>
        <v>6</v>
      </c>
      <c r="O160" s="81">
        <v>3800</v>
      </c>
      <c r="P160" s="70">
        <v>2</v>
      </c>
      <c r="Q160" s="81" t="s">
        <v>325</v>
      </c>
      <c r="R160" s="81" t="s">
        <v>150</v>
      </c>
      <c r="S160" s="81">
        <v>1984</v>
      </c>
      <c r="T160" s="81" t="s">
        <v>151</v>
      </c>
      <c r="U160" s="81"/>
    </row>
    <row r="161" spans="1:21" s="85" customFormat="1" x14ac:dyDescent="0.3">
      <c r="A161" s="86">
        <v>24</v>
      </c>
      <c r="B161" s="87">
        <v>0</v>
      </c>
      <c r="C161" s="87">
        <f t="shared" si="54"/>
        <v>0</v>
      </c>
      <c r="D161" s="87">
        <f t="shared" si="48"/>
        <v>0</v>
      </c>
      <c r="E161" s="87">
        <f t="shared" si="52"/>
        <v>0</v>
      </c>
      <c r="F161" s="87">
        <f t="shared" si="49"/>
        <v>0</v>
      </c>
      <c r="G161" s="87">
        <f>F161+3</f>
        <v>3</v>
      </c>
      <c r="H161" s="87">
        <f>G161+6</f>
        <v>9</v>
      </c>
      <c r="I161" s="87">
        <f>H161+1</f>
        <v>10</v>
      </c>
      <c r="J161" s="87">
        <f>I161+5</f>
        <v>15</v>
      </c>
      <c r="K161" s="87">
        <f>J161+3</f>
        <v>18</v>
      </c>
      <c r="L161" s="87">
        <f>K161+3</f>
        <v>21</v>
      </c>
      <c r="M161" s="87">
        <f>L161+3</f>
        <v>24</v>
      </c>
      <c r="N161" s="87">
        <f t="shared" si="53"/>
        <v>24</v>
      </c>
      <c r="O161" s="81">
        <v>515</v>
      </c>
      <c r="P161" s="70">
        <v>2</v>
      </c>
      <c r="Q161" s="81" t="s">
        <v>324</v>
      </c>
      <c r="R161" s="81" t="s">
        <v>150</v>
      </c>
      <c r="S161" s="81">
        <v>1984</v>
      </c>
      <c r="T161" s="81" t="s">
        <v>151</v>
      </c>
      <c r="U161" s="81"/>
    </row>
    <row r="162" spans="1:21" s="85" customFormat="1" x14ac:dyDescent="0.3">
      <c r="A162" s="86">
        <v>24</v>
      </c>
      <c r="B162" s="87">
        <v>0</v>
      </c>
      <c r="C162" s="87">
        <f t="shared" si="54"/>
        <v>0</v>
      </c>
      <c r="D162" s="87">
        <f t="shared" si="48"/>
        <v>0</v>
      </c>
      <c r="E162" s="87">
        <f t="shared" si="52"/>
        <v>0</v>
      </c>
      <c r="F162" s="87">
        <f t="shared" si="49"/>
        <v>0</v>
      </c>
      <c r="G162" s="87">
        <f>F162+4</f>
        <v>4</v>
      </c>
      <c r="H162" s="87">
        <f>G162+6</f>
        <v>10</v>
      </c>
      <c r="I162" s="87">
        <f>H162+5</f>
        <v>15</v>
      </c>
      <c r="J162" s="87">
        <f>I162+1</f>
        <v>16</v>
      </c>
      <c r="K162" s="87">
        <f>J162+4</f>
        <v>20</v>
      </c>
      <c r="L162" s="87">
        <f>K162+1</f>
        <v>21</v>
      </c>
      <c r="M162" s="87">
        <f>L162+3</f>
        <v>24</v>
      </c>
      <c r="N162" s="87">
        <f t="shared" si="53"/>
        <v>24</v>
      </c>
      <c r="O162" s="81">
        <v>880</v>
      </c>
      <c r="P162" s="70">
        <v>2</v>
      </c>
      <c r="Q162" s="81" t="s">
        <v>324</v>
      </c>
      <c r="R162" s="81" t="s">
        <v>150</v>
      </c>
      <c r="S162" s="81">
        <v>1984</v>
      </c>
      <c r="T162" s="81" t="s">
        <v>151</v>
      </c>
      <c r="U162" s="81"/>
    </row>
    <row r="163" spans="1:21" x14ac:dyDescent="0.3">
      <c r="A163" s="22">
        <v>30</v>
      </c>
      <c r="B163" s="87">
        <v>0</v>
      </c>
      <c r="C163" s="87">
        <f t="shared" si="54"/>
        <v>0</v>
      </c>
      <c r="D163" s="87">
        <f t="shared" si="48"/>
        <v>0</v>
      </c>
      <c r="E163" s="87">
        <f t="shared" si="52"/>
        <v>0</v>
      </c>
      <c r="F163" s="87">
        <f>E163+3</f>
        <v>3</v>
      </c>
      <c r="G163" s="87">
        <f>F163+6</f>
        <v>9</v>
      </c>
      <c r="H163" s="87">
        <f>G163+4</f>
        <v>13</v>
      </c>
      <c r="I163" s="87">
        <f>H163+7</f>
        <v>20</v>
      </c>
      <c r="J163" s="87">
        <f>I163+0</f>
        <v>20</v>
      </c>
      <c r="K163" s="87">
        <f>J163+7</f>
        <v>27</v>
      </c>
      <c r="L163" s="87">
        <f>K163+2</f>
        <v>29</v>
      </c>
      <c r="M163" s="87">
        <f>L163+1</f>
        <v>30</v>
      </c>
      <c r="N163" s="87">
        <f t="shared" si="53"/>
        <v>30</v>
      </c>
      <c r="O163" s="15">
        <v>1245</v>
      </c>
      <c r="P163" s="4">
        <v>2</v>
      </c>
      <c r="Q163" s="15" t="s">
        <v>324</v>
      </c>
      <c r="R163" s="15" t="s">
        <v>150</v>
      </c>
      <c r="S163" s="15">
        <v>1984</v>
      </c>
      <c r="T163" s="15" t="s">
        <v>151</v>
      </c>
    </row>
    <row r="164" spans="1:21" x14ac:dyDescent="0.3">
      <c r="A164" s="22">
        <v>30</v>
      </c>
      <c r="B164" s="87">
        <v>0</v>
      </c>
      <c r="C164" s="87">
        <f t="shared" si="54"/>
        <v>0</v>
      </c>
      <c r="D164" s="87">
        <f t="shared" si="48"/>
        <v>0</v>
      </c>
      <c r="E164" s="87">
        <f>D164+1</f>
        <v>1</v>
      </c>
      <c r="F164" s="87">
        <f>E164+3</f>
        <v>4</v>
      </c>
      <c r="G164" s="87">
        <f>F164+5</f>
        <v>9</v>
      </c>
      <c r="H164" s="87">
        <f>G164+4</f>
        <v>13</v>
      </c>
      <c r="I164" s="87">
        <f>H164+7</f>
        <v>20</v>
      </c>
      <c r="J164" s="87">
        <f>I164+4</f>
        <v>24</v>
      </c>
      <c r="K164" s="87">
        <f>J164+2</f>
        <v>26</v>
      </c>
      <c r="L164" s="87">
        <f>K164+4</f>
        <v>30</v>
      </c>
      <c r="M164" s="87">
        <f>L164+0</f>
        <v>30</v>
      </c>
      <c r="N164" s="87">
        <f t="shared" si="53"/>
        <v>30</v>
      </c>
      <c r="O164" s="81">
        <v>1610</v>
      </c>
      <c r="P164" s="4">
        <v>2</v>
      </c>
      <c r="Q164" s="15" t="s">
        <v>324</v>
      </c>
      <c r="R164" s="15" t="s">
        <v>150</v>
      </c>
      <c r="S164" s="15">
        <v>1984</v>
      </c>
      <c r="T164" s="15" t="s">
        <v>151</v>
      </c>
    </row>
    <row r="165" spans="1:21" x14ac:dyDescent="0.3">
      <c r="A165" s="22">
        <v>31</v>
      </c>
      <c r="B165" s="87">
        <v>0</v>
      </c>
      <c r="C165" s="87">
        <f t="shared" si="54"/>
        <v>0</v>
      </c>
      <c r="D165" s="87">
        <f t="shared" si="48"/>
        <v>0</v>
      </c>
      <c r="E165" s="87">
        <f>D165+1</f>
        <v>1</v>
      </c>
      <c r="F165" s="87">
        <f>E165+1</f>
        <v>2</v>
      </c>
      <c r="G165" s="87">
        <f>F165+6</f>
        <v>8</v>
      </c>
      <c r="H165" s="87">
        <f>G165+2</f>
        <v>10</v>
      </c>
      <c r="I165" s="87">
        <f>H165+4</f>
        <v>14</v>
      </c>
      <c r="J165" s="87">
        <f>I165+4</f>
        <v>18</v>
      </c>
      <c r="K165" s="87">
        <f>J165+6</f>
        <v>24</v>
      </c>
      <c r="L165" s="87">
        <f>K165+6</f>
        <v>30</v>
      </c>
      <c r="M165" s="87">
        <f>L165+1</f>
        <v>31</v>
      </c>
      <c r="N165" s="87">
        <f t="shared" si="53"/>
        <v>31</v>
      </c>
      <c r="O165" s="81">
        <v>1975</v>
      </c>
      <c r="P165" s="4">
        <v>2</v>
      </c>
      <c r="Q165" s="15" t="s">
        <v>324</v>
      </c>
      <c r="R165" s="15" t="s">
        <v>150</v>
      </c>
      <c r="S165" s="15">
        <v>1984</v>
      </c>
      <c r="T165" s="15" t="s">
        <v>151</v>
      </c>
    </row>
    <row r="166" spans="1:21" x14ac:dyDescent="0.3">
      <c r="A166" s="22">
        <v>29</v>
      </c>
      <c r="B166" s="87">
        <v>0</v>
      </c>
      <c r="C166" s="87">
        <f t="shared" si="54"/>
        <v>0</v>
      </c>
      <c r="D166" s="87">
        <f t="shared" si="48"/>
        <v>0</v>
      </c>
      <c r="E166" s="87">
        <f>D166+1</f>
        <v>1</v>
      </c>
      <c r="F166" s="87">
        <f>E166+1</f>
        <v>2</v>
      </c>
      <c r="G166" s="87">
        <f>F166+6</f>
        <v>8</v>
      </c>
      <c r="H166" s="87">
        <f>G166+1</f>
        <v>9</v>
      </c>
      <c r="I166" s="87">
        <f>H166+10</f>
        <v>19</v>
      </c>
      <c r="J166" s="87">
        <f>I166+1</f>
        <v>20</v>
      </c>
      <c r="K166" s="87">
        <f>J166+9</f>
        <v>29</v>
      </c>
      <c r="L166" s="87">
        <f t="shared" ref="L166:M168" si="55">K166+0</f>
        <v>29</v>
      </c>
      <c r="M166" s="87">
        <f t="shared" si="55"/>
        <v>29</v>
      </c>
      <c r="N166" s="87">
        <f t="shared" si="53"/>
        <v>29</v>
      </c>
      <c r="O166" s="81">
        <v>2340</v>
      </c>
      <c r="P166" s="4">
        <v>2</v>
      </c>
      <c r="Q166" s="15" t="s">
        <v>324</v>
      </c>
      <c r="R166" s="15" t="s">
        <v>150</v>
      </c>
      <c r="S166" s="15">
        <v>1984</v>
      </c>
      <c r="T166" s="15" t="s">
        <v>151</v>
      </c>
    </row>
    <row r="167" spans="1:21" x14ac:dyDescent="0.3">
      <c r="A167" s="22">
        <v>30</v>
      </c>
      <c r="B167" s="87">
        <v>0</v>
      </c>
      <c r="C167" s="87">
        <f t="shared" si="54"/>
        <v>0</v>
      </c>
      <c r="D167" s="87">
        <f t="shared" si="48"/>
        <v>0</v>
      </c>
      <c r="E167" s="87">
        <f>D167+1</f>
        <v>1</v>
      </c>
      <c r="F167" s="87">
        <f>E167+4</f>
        <v>5</v>
      </c>
      <c r="G167" s="87">
        <f>F167+9</f>
        <v>14</v>
      </c>
      <c r="H167" s="87">
        <f>G167+2</f>
        <v>16</v>
      </c>
      <c r="I167" s="87">
        <f>H167+8</f>
        <v>24</v>
      </c>
      <c r="J167" s="87">
        <f>I167+4</f>
        <v>28</v>
      </c>
      <c r="K167" s="87">
        <f>J167+2</f>
        <v>30</v>
      </c>
      <c r="L167" s="87">
        <f t="shared" si="55"/>
        <v>30</v>
      </c>
      <c r="M167" s="87">
        <f t="shared" si="55"/>
        <v>30</v>
      </c>
      <c r="N167" s="87">
        <f t="shared" si="53"/>
        <v>30</v>
      </c>
      <c r="O167" s="81">
        <v>3070</v>
      </c>
      <c r="P167" s="4">
        <v>2</v>
      </c>
      <c r="Q167" s="15" t="s">
        <v>324</v>
      </c>
      <c r="R167" s="15" t="s">
        <v>150</v>
      </c>
      <c r="S167" s="15">
        <v>1984</v>
      </c>
      <c r="T167" s="15" t="s">
        <v>151</v>
      </c>
    </row>
    <row r="168" spans="1:21" x14ac:dyDescent="0.3">
      <c r="A168" s="22">
        <v>29</v>
      </c>
      <c r="B168" s="87">
        <v>0</v>
      </c>
      <c r="C168" s="87">
        <f t="shared" si="54"/>
        <v>0</v>
      </c>
      <c r="D168" s="87">
        <f>C168+1</f>
        <v>1</v>
      </c>
      <c r="E168" s="87">
        <f>D168+0</f>
        <v>1</v>
      </c>
      <c r="F168" s="87">
        <f>E168+4</f>
        <v>5</v>
      </c>
      <c r="G168" s="87">
        <f>F168+11</f>
        <v>16</v>
      </c>
      <c r="H168" s="87">
        <f>G168+4</f>
        <v>20</v>
      </c>
      <c r="I168" s="87">
        <f>H168+4</f>
        <v>24</v>
      </c>
      <c r="J168" s="87">
        <f>I168+4</f>
        <v>28</v>
      </c>
      <c r="K168" s="87">
        <f>J168+1</f>
        <v>29</v>
      </c>
      <c r="L168" s="87">
        <f t="shared" si="55"/>
        <v>29</v>
      </c>
      <c r="M168" s="87">
        <f t="shared" si="55"/>
        <v>29</v>
      </c>
      <c r="N168" s="87">
        <f t="shared" si="53"/>
        <v>29</v>
      </c>
      <c r="O168" s="81">
        <v>3800</v>
      </c>
      <c r="P168" s="4">
        <v>2</v>
      </c>
      <c r="Q168" s="15" t="s">
        <v>324</v>
      </c>
      <c r="R168" s="15" t="s">
        <v>150</v>
      </c>
      <c r="S168" s="15">
        <v>1984</v>
      </c>
      <c r="T168" s="15" t="s">
        <v>151</v>
      </c>
    </row>
    <row r="169" spans="1:21" x14ac:dyDescent="0.3">
      <c r="A169" s="22">
        <v>32</v>
      </c>
      <c r="B169" s="87">
        <v>8</v>
      </c>
      <c r="C169" s="87">
        <f t="shared" si="54"/>
        <v>8</v>
      </c>
      <c r="D169" s="87">
        <f>C169+1</f>
        <v>9</v>
      </c>
      <c r="E169" s="87">
        <f>D169+8</f>
        <v>17</v>
      </c>
      <c r="F169" s="87">
        <f>E169+1</f>
        <v>18</v>
      </c>
      <c r="G169" s="87">
        <f>F169+4</f>
        <v>22</v>
      </c>
      <c r="H169" s="87">
        <f>G169+2</f>
        <v>24</v>
      </c>
      <c r="I169" s="87">
        <f>H169+5</f>
        <v>29</v>
      </c>
      <c r="J169" s="87">
        <f>I169+1</f>
        <v>30</v>
      </c>
      <c r="K169" s="87">
        <f>J169+1</f>
        <v>31</v>
      </c>
      <c r="L169" s="87">
        <f t="shared" ref="L169:L183" si="56">K169+0</f>
        <v>31</v>
      </c>
      <c r="M169" s="87">
        <f>L169+1</f>
        <v>32</v>
      </c>
      <c r="N169" s="87">
        <f t="shared" si="53"/>
        <v>32</v>
      </c>
      <c r="O169" s="81">
        <v>2520</v>
      </c>
      <c r="P169" s="4">
        <v>3</v>
      </c>
      <c r="Q169" s="15" t="s">
        <v>330</v>
      </c>
      <c r="R169" s="15" t="s">
        <v>150</v>
      </c>
      <c r="S169" s="15">
        <v>1984</v>
      </c>
      <c r="T169" s="15" t="s">
        <v>151</v>
      </c>
    </row>
    <row r="170" spans="1:21" x14ac:dyDescent="0.3">
      <c r="A170" s="22">
        <v>32</v>
      </c>
      <c r="B170" s="87">
        <v>2</v>
      </c>
      <c r="C170" s="87">
        <f t="shared" si="54"/>
        <v>2</v>
      </c>
      <c r="D170" s="87">
        <f>C170+1</f>
        <v>3</v>
      </c>
      <c r="E170" s="87">
        <f>D170+4</f>
        <v>7</v>
      </c>
      <c r="F170" s="87">
        <f>E170+1</f>
        <v>8</v>
      </c>
      <c r="G170" s="87">
        <f>F170+4</f>
        <v>12</v>
      </c>
      <c r="H170" s="87">
        <f>G170+2</f>
        <v>14</v>
      </c>
      <c r="I170" s="87">
        <f>H170+10</f>
        <v>24</v>
      </c>
      <c r="J170" s="87">
        <f>I170+6</f>
        <v>30</v>
      </c>
      <c r="K170" s="87">
        <f>J170+2</f>
        <v>32</v>
      </c>
      <c r="L170" s="87">
        <f t="shared" si="56"/>
        <v>32</v>
      </c>
      <c r="M170" s="87">
        <f t="shared" ref="M170:M183" si="57">L170+0</f>
        <v>32</v>
      </c>
      <c r="N170" s="87">
        <f t="shared" si="53"/>
        <v>32</v>
      </c>
      <c r="O170" s="81">
        <v>2543</v>
      </c>
      <c r="P170" s="4">
        <v>3</v>
      </c>
      <c r="Q170" s="15" t="s">
        <v>330</v>
      </c>
      <c r="R170" s="15" t="s">
        <v>150</v>
      </c>
      <c r="S170" s="15">
        <v>1984</v>
      </c>
      <c r="T170" s="15" t="s">
        <v>151</v>
      </c>
    </row>
    <row r="171" spans="1:21" x14ac:dyDescent="0.3">
      <c r="A171" s="22">
        <v>13</v>
      </c>
      <c r="B171" s="87">
        <v>1</v>
      </c>
      <c r="C171" s="87">
        <f t="shared" si="54"/>
        <v>1</v>
      </c>
      <c r="D171" s="87">
        <f>C171+0</f>
        <v>1</v>
      </c>
      <c r="E171" s="87">
        <f>D171+5</f>
        <v>6</v>
      </c>
      <c r="F171" s="87">
        <f>E171+1</f>
        <v>7</v>
      </c>
      <c r="G171" s="87">
        <f>F171+6</f>
        <v>13</v>
      </c>
      <c r="H171" s="87">
        <f t="shared" ref="H171:K172" si="58">G171+0</f>
        <v>13</v>
      </c>
      <c r="I171" s="87">
        <f t="shared" si="58"/>
        <v>13</v>
      </c>
      <c r="J171" s="87">
        <f t="shared" si="58"/>
        <v>13</v>
      </c>
      <c r="K171" s="87">
        <f t="shared" si="58"/>
        <v>13</v>
      </c>
      <c r="L171" s="87">
        <f t="shared" si="56"/>
        <v>13</v>
      </c>
      <c r="M171" s="87">
        <f t="shared" si="57"/>
        <v>13</v>
      </c>
      <c r="N171" s="87">
        <f t="shared" si="53"/>
        <v>13</v>
      </c>
      <c r="O171" s="81">
        <v>515</v>
      </c>
      <c r="P171" s="4">
        <v>3</v>
      </c>
      <c r="Q171" s="15" t="s">
        <v>325</v>
      </c>
      <c r="R171" s="15" t="s">
        <v>150</v>
      </c>
      <c r="S171" s="15">
        <v>1984</v>
      </c>
      <c r="T171" s="15" t="s">
        <v>151</v>
      </c>
    </row>
    <row r="172" spans="1:21" x14ac:dyDescent="0.3">
      <c r="A172" s="22">
        <v>13</v>
      </c>
      <c r="B172" s="87">
        <v>5</v>
      </c>
      <c r="C172" s="87">
        <f t="shared" si="54"/>
        <v>5</v>
      </c>
      <c r="D172" s="87">
        <f>C172+4</f>
        <v>9</v>
      </c>
      <c r="E172" s="87">
        <f>D172+4</f>
        <v>13</v>
      </c>
      <c r="F172" s="87">
        <f>E172+0</f>
        <v>13</v>
      </c>
      <c r="G172" s="87">
        <f>F172+0</f>
        <v>13</v>
      </c>
      <c r="H172" s="87">
        <f t="shared" si="58"/>
        <v>13</v>
      </c>
      <c r="I172" s="87">
        <f t="shared" si="58"/>
        <v>13</v>
      </c>
      <c r="J172" s="87">
        <f t="shared" si="58"/>
        <v>13</v>
      </c>
      <c r="K172" s="87">
        <f t="shared" si="58"/>
        <v>13</v>
      </c>
      <c r="L172" s="87">
        <f t="shared" si="56"/>
        <v>13</v>
      </c>
      <c r="M172" s="87">
        <f t="shared" si="57"/>
        <v>13</v>
      </c>
      <c r="N172" s="87">
        <f t="shared" si="53"/>
        <v>13</v>
      </c>
      <c r="O172" s="81">
        <v>1975</v>
      </c>
      <c r="P172" s="4">
        <v>3</v>
      </c>
      <c r="Q172" s="15" t="s">
        <v>325</v>
      </c>
      <c r="R172" s="15" t="s">
        <v>150</v>
      </c>
      <c r="S172" s="15">
        <v>1984</v>
      </c>
      <c r="T172" s="15" t="s">
        <v>151</v>
      </c>
    </row>
    <row r="173" spans="1:21" x14ac:dyDescent="0.3">
      <c r="A173" s="86">
        <v>13</v>
      </c>
      <c r="B173" s="87">
        <v>1</v>
      </c>
      <c r="C173" s="87">
        <f t="shared" si="54"/>
        <v>1</v>
      </c>
      <c r="D173" s="87">
        <f>C173+0</f>
        <v>1</v>
      </c>
      <c r="E173" s="87">
        <f>D173+1</f>
        <v>2</v>
      </c>
      <c r="F173" s="87">
        <f>E173+0</f>
        <v>2</v>
      </c>
      <c r="G173" s="87">
        <f>F173+7</f>
        <v>9</v>
      </c>
      <c r="H173" s="87">
        <f>G173+0</f>
        <v>9</v>
      </c>
      <c r="I173" s="87">
        <f>H173+3</f>
        <v>12</v>
      </c>
      <c r="J173" s="87">
        <f>I173+1</f>
        <v>13</v>
      </c>
      <c r="K173" s="87">
        <f>J173+0</f>
        <v>13</v>
      </c>
      <c r="L173" s="87">
        <f t="shared" si="56"/>
        <v>13</v>
      </c>
      <c r="M173" s="87">
        <f t="shared" si="57"/>
        <v>13</v>
      </c>
      <c r="N173" s="87">
        <f t="shared" si="53"/>
        <v>13</v>
      </c>
      <c r="O173" s="15">
        <v>2340</v>
      </c>
      <c r="P173" s="4">
        <v>3</v>
      </c>
      <c r="Q173" s="15" t="s">
        <v>325</v>
      </c>
      <c r="R173" s="15" t="s">
        <v>150</v>
      </c>
      <c r="S173" s="15">
        <v>1984</v>
      </c>
      <c r="T173" s="15" t="s">
        <v>151</v>
      </c>
    </row>
    <row r="174" spans="1:21" x14ac:dyDescent="0.3">
      <c r="A174" s="86">
        <v>13</v>
      </c>
      <c r="B174" s="87">
        <v>1</v>
      </c>
      <c r="C174" s="87">
        <f t="shared" si="54"/>
        <v>1</v>
      </c>
      <c r="D174" s="87">
        <f>C174+0</f>
        <v>1</v>
      </c>
      <c r="E174" s="87">
        <f>D174+4</f>
        <v>5</v>
      </c>
      <c r="F174" s="87">
        <f>E174+4</f>
        <v>9</v>
      </c>
      <c r="G174" s="87">
        <f>F174+3</f>
        <v>12</v>
      </c>
      <c r="H174" s="87">
        <f>G174+0</f>
        <v>12</v>
      </c>
      <c r="I174" s="87">
        <f>H174+1</f>
        <v>13</v>
      </c>
      <c r="J174" s="87">
        <f>I174+0</f>
        <v>13</v>
      </c>
      <c r="K174" s="87">
        <f>J174+0</f>
        <v>13</v>
      </c>
      <c r="L174" s="87">
        <f t="shared" si="56"/>
        <v>13</v>
      </c>
      <c r="M174" s="87">
        <f t="shared" si="57"/>
        <v>13</v>
      </c>
      <c r="N174" s="87">
        <f t="shared" si="53"/>
        <v>13</v>
      </c>
      <c r="O174" s="15">
        <v>3070</v>
      </c>
      <c r="P174" s="4">
        <v>3</v>
      </c>
      <c r="Q174" s="15" t="s">
        <v>325</v>
      </c>
      <c r="R174" s="15" t="s">
        <v>150</v>
      </c>
      <c r="S174" s="15">
        <v>1984</v>
      </c>
      <c r="T174" s="15" t="s">
        <v>151</v>
      </c>
    </row>
    <row r="175" spans="1:21" x14ac:dyDescent="0.3">
      <c r="A175" s="86">
        <v>13</v>
      </c>
      <c r="B175" s="87">
        <v>3</v>
      </c>
      <c r="C175" s="87">
        <f t="shared" si="54"/>
        <v>3</v>
      </c>
      <c r="D175" s="87">
        <f>C175+1</f>
        <v>4</v>
      </c>
      <c r="E175" s="87">
        <f>D175+7</f>
        <v>11</v>
      </c>
      <c r="F175" s="87">
        <f>E175+1</f>
        <v>12</v>
      </c>
      <c r="G175" s="87">
        <f>F175+0</f>
        <v>12</v>
      </c>
      <c r="H175" s="87">
        <f>G175+1</f>
        <v>13</v>
      </c>
      <c r="I175" s="87">
        <f>H175+0</f>
        <v>13</v>
      </c>
      <c r="J175" s="87">
        <f>I175+0</f>
        <v>13</v>
      </c>
      <c r="K175" s="87">
        <f>J175+0</f>
        <v>13</v>
      </c>
      <c r="L175" s="87">
        <f t="shared" si="56"/>
        <v>13</v>
      </c>
      <c r="M175" s="87">
        <f t="shared" si="57"/>
        <v>13</v>
      </c>
      <c r="N175" s="87">
        <f t="shared" si="53"/>
        <v>13</v>
      </c>
      <c r="O175" s="15">
        <v>3800</v>
      </c>
      <c r="P175" s="4">
        <v>3</v>
      </c>
      <c r="Q175" s="15" t="s">
        <v>325</v>
      </c>
      <c r="R175" s="15" t="s">
        <v>150</v>
      </c>
      <c r="S175" s="15">
        <v>1984</v>
      </c>
      <c r="T175" s="15" t="s">
        <v>151</v>
      </c>
    </row>
    <row r="176" spans="1:21" x14ac:dyDescent="0.3">
      <c r="A176" s="86">
        <v>22</v>
      </c>
      <c r="B176" s="87">
        <v>1</v>
      </c>
      <c r="C176" s="87">
        <f t="shared" si="54"/>
        <v>1</v>
      </c>
      <c r="D176" s="87">
        <f>C176+0</f>
        <v>1</v>
      </c>
      <c r="E176" s="87">
        <f>D176+2</f>
        <v>3</v>
      </c>
      <c r="F176" s="87">
        <f>E176+2</f>
        <v>5</v>
      </c>
      <c r="G176" s="87">
        <f>F176+7</f>
        <v>12</v>
      </c>
      <c r="H176" s="87">
        <f>G176+6</f>
        <v>18</v>
      </c>
      <c r="I176" s="87">
        <f>H176+1</f>
        <v>19</v>
      </c>
      <c r="J176" s="87">
        <f>I176+2</f>
        <v>21</v>
      </c>
      <c r="K176" s="87">
        <f>J176+1</f>
        <v>22</v>
      </c>
      <c r="L176" s="87">
        <f t="shared" si="56"/>
        <v>22</v>
      </c>
      <c r="M176" s="87">
        <f t="shared" si="57"/>
        <v>22</v>
      </c>
      <c r="N176" s="87">
        <f t="shared" si="53"/>
        <v>22</v>
      </c>
      <c r="O176" s="15">
        <v>515</v>
      </c>
      <c r="P176" s="4">
        <v>3</v>
      </c>
      <c r="Q176" s="15" t="s">
        <v>324</v>
      </c>
      <c r="R176" s="15" t="s">
        <v>150</v>
      </c>
      <c r="S176" s="15">
        <v>1984</v>
      </c>
      <c r="T176" s="15" t="s">
        <v>151</v>
      </c>
    </row>
    <row r="177" spans="1:21" x14ac:dyDescent="0.3">
      <c r="A177" s="86">
        <v>22</v>
      </c>
      <c r="B177" s="87">
        <v>4</v>
      </c>
      <c r="C177" s="87">
        <f t="shared" si="54"/>
        <v>4</v>
      </c>
      <c r="D177" s="87">
        <f>C177+0</f>
        <v>4</v>
      </c>
      <c r="E177" s="87">
        <f>D177+5</f>
        <v>9</v>
      </c>
      <c r="F177" s="87">
        <f>E177+2</f>
        <v>11</v>
      </c>
      <c r="G177" s="87">
        <f>F177+6</f>
        <v>17</v>
      </c>
      <c r="H177" s="87">
        <f>G177+2</f>
        <v>19</v>
      </c>
      <c r="I177" s="87">
        <f>H177+1</f>
        <v>20</v>
      </c>
      <c r="J177" s="87">
        <f>I177+2</f>
        <v>22</v>
      </c>
      <c r="K177" s="87">
        <f>J177+0</f>
        <v>22</v>
      </c>
      <c r="L177" s="87">
        <f t="shared" si="56"/>
        <v>22</v>
      </c>
      <c r="M177" s="87">
        <f t="shared" si="57"/>
        <v>22</v>
      </c>
      <c r="N177" s="87">
        <f t="shared" si="53"/>
        <v>22</v>
      </c>
      <c r="O177" s="81">
        <v>880</v>
      </c>
      <c r="P177" s="4">
        <v>3</v>
      </c>
      <c r="Q177" s="15" t="s">
        <v>324</v>
      </c>
      <c r="R177" s="15" t="s">
        <v>150</v>
      </c>
      <c r="S177" s="15">
        <v>1984</v>
      </c>
      <c r="T177" s="15" t="s">
        <v>151</v>
      </c>
    </row>
    <row r="178" spans="1:21" x14ac:dyDescent="0.3">
      <c r="A178" s="86">
        <v>28</v>
      </c>
      <c r="B178" s="87">
        <v>5</v>
      </c>
      <c r="C178" s="87">
        <f t="shared" si="54"/>
        <v>5</v>
      </c>
      <c r="D178" s="87">
        <f>C178+0</f>
        <v>5</v>
      </c>
      <c r="E178" s="87">
        <f>D178+0</f>
        <v>5</v>
      </c>
      <c r="F178" s="87">
        <f>E178+10</f>
        <v>15</v>
      </c>
      <c r="G178" s="87">
        <f>F178+3</f>
        <v>18</v>
      </c>
      <c r="H178" s="87">
        <f>G178+8</f>
        <v>26</v>
      </c>
      <c r="I178" s="87">
        <f>H178+1</f>
        <v>27</v>
      </c>
      <c r="J178" s="87">
        <f>I178+1</f>
        <v>28</v>
      </c>
      <c r="K178" s="87">
        <f>J178+0</f>
        <v>28</v>
      </c>
      <c r="L178" s="87">
        <f t="shared" si="56"/>
        <v>28</v>
      </c>
      <c r="M178" s="87">
        <f t="shared" si="57"/>
        <v>28</v>
      </c>
      <c r="N178" s="87">
        <f t="shared" si="53"/>
        <v>28</v>
      </c>
      <c r="O178" s="15">
        <v>1245</v>
      </c>
      <c r="P178" s="4">
        <v>3</v>
      </c>
      <c r="Q178" s="15" t="s">
        <v>324</v>
      </c>
      <c r="R178" s="15" t="s">
        <v>150</v>
      </c>
      <c r="S178" s="15">
        <v>1984</v>
      </c>
      <c r="T178" s="15" t="s">
        <v>151</v>
      </c>
    </row>
    <row r="179" spans="1:21" x14ac:dyDescent="0.3">
      <c r="A179" s="86">
        <v>28</v>
      </c>
      <c r="B179" s="87">
        <v>5</v>
      </c>
      <c r="C179" s="87">
        <f t="shared" si="54"/>
        <v>5</v>
      </c>
      <c r="D179" s="87">
        <f>C179+4</f>
        <v>9</v>
      </c>
      <c r="E179" s="87">
        <f>D179+9</f>
        <v>18</v>
      </c>
      <c r="F179" s="87">
        <f>E179+2</f>
        <v>20</v>
      </c>
      <c r="G179" s="87">
        <f>F179+6</f>
        <v>26</v>
      </c>
      <c r="H179" s="87">
        <f>G179+1</f>
        <v>27</v>
      </c>
      <c r="I179" s="87">
        <f>H179+1</f>
        <v>28</v>
      </c>
      <c r="J179" s="87">
        <f>I179+0</f>
        <v>28</v>
      </c>
      <c r="K179" s="87">
        <f>J179+0</f>
        <v>28</v>
      </c>
      <c r="L179" s="87">
        <f t="shared" si="56"/>
        <v>28</v>
      </c>
      <c r="M179" s="87">
        <f t="shared" si="57"/>
        <v>28</v>
      </c>
      <c r="N179" s="87">
        <f t="shared" si="53"/>
        <v>28</v>
      </c>
      <c r="O179" s="15">
        <v>1610</v>
      </c>
      <c r="P179" s="4">
        <v>3</v>
      </c>
      <c r="Q179" s="15" t="s">
        <v>324</v>
      </c>
      <c r="R179" s="15" t="s">
        <v>150</v>
      </c>
      <c r="S179" s="15">
        <v>1984</v>
      </c>
      <c r="T179" s="15" t="s">
        <v>151</v>
      </c>
    </row>
    <row r="180" spans="1:21" x14ac:dyDescent="0.3">
      <c r="A180" s="86">
        <v>27</v>
      </c>
      <c r="B180" s="87">
        <v>0</v>
      </c>
      <c r="C180" s="87">
        <f t="shared" si="54"/>
        <v>0</v>
      </c>
      <c r="D180" s="87">
        <f>C180+4</f>
        <v>4</v>
      </c>
      <c r="E180" s="87">
        <f>D180+8</f>
        <v>12</v>
      </c>
      <c r="F180" s="87">
        <f>E180+3</f>
        <v>15</v>
      </c>
      <c r="G180" s="87">
        <f>F180+5</f>
        <v>20</v>
      </c>
      <c r="H180" s="87">
        <f>G180+4</f>
        <v>24</v>
      </c>
      <c r="I180" s="87">
        <f>H180+2</f>
        <v>26</v>
      </c>
      <c r="J180" s="87">
        <f>I180+0</f>
        <v>26</v>
      </c>
      <c r="K180" s="87">
        <f>J180+1</f>
        <v>27</v>
      </c>
      <c r="L180" s="87">
        <f t="shared" si="56"/>
        <v>27</v>
      </c>
      <c r="M180" s="87">
        <f t="shared" si="57"/>
        <v>27</v>
      </c>
      <c r="N180" s="87">
        <f t="shared" si="53"/>
        <v>27</v>
      </c>
      <c r="O180" s="15">
        <v>1975</v>
      </c>
      <c r="P180" s="4">
        <v>3</v>
      </c>
      <c r="Q180" s="15" t="s">
        <v>324</v>
      </c>
      <c r="R180" s="15" t="s">
        <v>150</v>
      </c>
      <c r="S180" s="15">
        <v>1984</v>
      </c>
      <c r="T180" s="15" t="s">
        <v>151</v>
      </c>
    </row>
    <row r="181" spans="1:21" x14ac:dyDescent="0.3">
      <c r="A181" s="86">
        <v>27</v>
      </c>
      <c r="B181" s="87">
        <v>4</v>
      </c>
      <c r="C181" s="87">
        <f t="shared" si="54"/>
        <v>4</v>
      </c>
      <c r="D181" s="87">
        <f>C181+3</f>
        <v>7</v>
      </c>
      <c r="E181" s="87">
        <f>D181+10</f>
        <v>17</v>
      </c>
      <c r="F181" s="87">
        <f>E181+1</f>
        <v>18</v>
      </c>
      <c r="G181" s="87">
        <f>F181+7</f>
        <v>25</v>
      </c>
      <c r="H181" s="87">
        <f>G181+0</f>
        <v>25</v>
      </c>
      <c r="I181" s="87">
        <f>H181+1</f>
        <v>26</v>
      </c>
      <c r="J181" s="87">
        <f>I181+1</f>
        <v>27</v>
      </c>
      <c r="K181" s="87">
        <f>J181+0</f>
        <v>27</v>
      </c>
      <c r="L181" s="87">
        <f t="shared" si="56"/>
        <v>27</v>
      </c>
      <c r="M181" s="87">
        <f t="shared" si="57"/>
        <v>27</v>
      </c>
      <c r="N181" s="87">
        <f t="shared" si="53"/>
        <v>27</v>
      </c>
      <c r="O181" s="81">
        <v>2340</v>
      </c>
      <c r="P181" s="4">
        <v>3</v>
      </c>
      <c r="Q181" s="15" t="s">
        <v>324</v>
      </c>
      <c r="R181" s="15" t="s">
        <v>150</v>
      </c>
      <c r="S181" s="15">
        <v>1984</v>
      </c>
      <c r="T181" s="15" t="s">
        <v>151</v>
      </c>
    </row>
    <row r="182" spans="1:21" x14ac:dyDescent="0.3">
      <c r="A182" s="86">
        <v>27</v>
      </c>
      <c r="B182" s="87">
        <v>3</v>
      </c>
      <c r="C182" s="87">
        <f t="shared" si="54"/>
        <v>3</v>
      </c>
      <c r="D182" s="87">
        <f>C182+2</f>
        <v>5</v>
      </c>
      <c r="E182" s="87">
        <f>D182+10</f>
        <v>15</v>
      </c>
      <c r="F182" s="87">
        <f>E182+4</f>
        <v>19</v>
      </c>
      <c r="G182" s="87">
        <f>F182+3</f>
        <v>22</v>
      </c>
      <c r="H182" s="87">
        <f>G182+2</f>
        <v>24</v>
      </c>
      <c r="I182" s="87">
        <f>H182+2</f>
        <v>26</v>
      </c>
      <c r="J182" s="87">
        <f>I182+0</f>
        <v>26</v>
      </c>
      <c r="K182" s="87">
        <f>J182+1</f>
        <v>27</v>
      </c>
      <c r="L182" s="87">
        <f t="shared" si="56"/>
        <v>27</v>
      </c>
      <c r="M182" s="87">
        <f t="shared" si="57"/>
        <v>27</v>
      </c>
      <c r="N182" s="87">
        <f t="shared" si="53"/>
        <v>27</v>
      </c>
      <c r="O182" s="15">
        <v>3070</v>
      </c>
      <c r="P182" s="4">
        <v>3</v>
      </c>
      <c r="Q182" s="15" t="s">
        <v>324</v>
      </c>
      <c r="R182" s="15" t="s">
        <v>150</v>
      </c>
      <c r="S182" s="15">
        <v>1984</v>
      </c>
      <c r="T182" s="15" t="s">
        <v>151</v>
      </c>
    </row>
    <row r="183" spans="1:21" x14ac:dyDescent="0.3">
      <c r="A183" s="86">
        <v>27</v>
      </c>
      <c r="B183" s="87">
        <v>5</v>
      </c>
      <c r="C183" s="87">
        <f t="shared" si="54"/>
        <v>5</v>
      </c>
      <c r="D183" s="87">
        <f>C183+3</f>
        <v>8</v>
      </c>
      <c r="E183" s="87">
        <f>D183+12</f>
        <v>20</v>
      </c>
      <c r="F183" s="87">
        <f>E183+3</f>
        <v>23</v>
      </c>
      <c r="G183" s="87">
        <f>F183+3</f>
        <v>26</v>
      </c>
      <c r="H183" s="87">
        <f t="shared" ref="H183:I185" si="59">G183+0</f>
        <v>26</v>
      </c>
      <c r="I183" s="87">
        <f t="shared" si="59"/>
        <v>26</v>
      </c>
      <c r="J183" s="87">
        <f>I183+1</f>
        <v>27</v>
      </c>
      <c r="K183" s="87">
        <f>J183+0</f>
        <v>27</v>
      </c>
      <c r="L183" s="87">
        <f t="shared" si="56"/>
        <v>27</v>
      </c>
      <c r="M183" s="87">
        <f t="shared" si="57"/>
        <v>27</v>
      </c>
      <c r="N183" s="87">
        <f t="shared" si="53"/>
        <v>27</v>
      </c>
      <c r="O183" s="15">
        <v>3800</v>
      </c>
      <c r="P183" s="4">
        <v>3</v>
      </c>
      <c r="Q183" s="15" t="s">
        <v>324</v>
      </c>
      <c r="R183" s="15" t="s">
        <v>150</v>
      </c>
      <c r="S183" s="15">
        <v>1984</v>
      </c>
      <c r="T183" s="15" t="s">
        <v>151</v>
      </c>
    </row>
    <row r="184" spans="1:21" x14ac:dyDescent="0.3">
      <c r="A184" s="86">
        <v>37</v>
      </c>
      <c r="B184" s="87">
        <v>0</v>
      </c>
      <c r="C184" s="87">
        <f t="shared" si="54"/>
        <v>0</v>
      </c>
      <c r="D184" s="87">
        <f t="shared" ref="D184:E187" si="60">C184+0</f>
        <v>0</v>
      </c>
      <c r="E184" s="87">
        <f t="shared" si="60"/>
        <v>0</v>
      </c>
      <c r="F184" s="87">
        <f>E184+3</f>
        <v>3</v>
      </c>
      <c r="G184" s="87">
        <f>F184+0</f>
        <v>3</v>
      </c>
      <c r="H184" s="87">
        <f t="shared" si="59"/>
        <v>3</v>
      </c>
      <c r="I184" s="87">
        <f t="shared" si="59"/>
        <v>3</v>
      </c>
      <c r="J184" s="87">
        <f>I184+24</f>
        <v>27</v>
      </c>
      <c r="K184" s="87">
        <f>J184+9</f>
        <v>36</v>
      </c>
      <c r="L184" s="87">
        <f>K184+9</f>
        <v>45</v>
      </c>
      <c r="M184" s="87">
        <f>L184+38</f>
        <v>83</v>
      </c>
      <c r="N184" s="87">
        <f>M184+10</f>
        <v>93</v>
      </c>
      <c r="O184" s="15">
        <v>720</v>
      </c>
      <c r="P184" s="4">
        <v>1</v>
      </c>
      <c r="Q184" s="15" t="s">
        <v>73</v>
      </c>
      <c r="R184" s="15" t="s">
        <v>164</v>
      </c>
      <c r="S184" s="15">
        <v>1991</v>
      </c>
      <c r="T184" s="15" t="s">
        <v>72</v>
      </c>
      <c r="U184" s="15" t="s">
        <v>305</v>
      </c>
    </row>
    <row r="185" spans="1:21" s="85" customFormat="1" x14ac:dyDescent="0.3">
      <c r="A185" s="86">
        <v>37</v>
      </c>
      <c r="B185" s="87">
        <v>0</v>
      </c>
      <c r="C185" s="87">
        <f t="shared" si="54"/>
        <v>0</v>
      </c>
      <c r="D185" s="87">
        <f t="shared" si="60"/>
        <v>0</v>
      </c>
      <c r="E185" s="87">
        <f t="shared" si="60"/>
        <v>0</v>
      </c>
      <c r="F185" s="87">
        <f>E185+3</f>
        <v>3</v>
      </c>
      <c r="G185" s="87">
        <f>F185+0</f>
        <v>3</v>
      </c>
      <c r="H185" s="87">
        <f t="shared" si="59"/>
        <v>3</v>
      </c>
      <c r="I185" s="87">
        <f t="shared" si="59"/>
        <v>3</v>
      </c>
      <c r="J185" s="87">
        <f>I185+24</f>
        <v>27</v>
      </c>
      <c r="K185" s="87">
        <f>J185+9</f>
        <v>36</v>
      </c>
      <c r="L185" s="87">
        <f>K185+9</f>
        <v>45</v>
      </c>
      <c r="M185" s="87">
        <f>L185+38</f>
        <v>83</v>
      </c>
      <c r="N185" s="87">
        <f>M185+10</f>
        <v>93</v>
      </c>
      <c r="O185" s="81">
        <v>720</v>
      </c>
      <c r="P185" s="70">
        <v>1</v>
      </c>
      <c r="Q185" s="81" t="s">
        <v>74</v>
      </c>
      <c r="R185" s="81" t="s">
        <v>164</v>
      </c>
      <c r="S185" s="81">
        <v>1991</v>
      </c>
      <c r="T185" s="81" t="s">
        <v>72</v>
      </c>
      <c r="U185" s="81" t="s">
        <v>305</v>
      </c>
    </row>
    <row r="186" spans="1:21" x14ac:dyDescent="0.3">
      <c r="A186" s="86">
        <v>20</v>
      </c>
      <c r="B186" s="87">
        <v>3</v>
      </c>
      <c r="C186" s="87">
        <f t="shared" si="54"/>
        <v>3</v>
      </c>
      <c r="D186" s="87">
        <f t="shared" si="60"/>
        <v>3</v>
      </c>
      <c r="E186" s="87">
        <f t="shared" si="60"/>
        <v>3</v>
      </c>
      <c r="F186" s="87">
        <f>E186+6</f>
        <v>9</v>
      </c>
      <c r="G186" s="87">
        <f t="shared" ref="G186:I187" si="61">F186+10</f>
        <v>19</v>
      </c>
      <c r="H186" s="87">
        <f t="shared" si="61"/>
        <v>29</v>
      </c>
      <c r="I186" s="87">
        <f t="shared" si="61"/>
        <v>39</v>
      </c>
      <c r="J186" s="87">
        <f>I186+19</f>
        <v>58</v>
      </c>
      <c r="K186" s="87">
        <f>J186+10</f>
        <v>68</v>
      </c>
      <c r="L186" s="87">
        <f>K186+10</f>
        <v>78</v>
      </c>
      <c r="M186" s="87">
        <f>L186+1</f>
        <v>79</v>
      </c>
      <c r="N186" s="87">
        <f>M186+0</f>
        <v>79</v>
      </c>
      <c r="O186" s="15">
        <v>708</v>
      </c>
      <c r="P186" s="4">
        <v>1</v>
      </c>
      <c r="Q186" s="15" t="s">
        <v>210</v>
      </c>
      <c r="R186" s="15" t="s">
        <v>164</v>
      </c>
      <c r="S186" s="15">
        <v>1991</v>
      </c>
      <c r="T186" s="15" t="s">
        <v>72</v>
      </c>
      <c r="U186" s="15" t="s">
        <v>306</v>
      </c>
    </row>
    <row r="187" spans="1:21" x14ac:dyDescent="0.3">
      <c r="A187" s="86">
        <v>20</v>
      </c>
      <c r="B187" s="87">
        <v>3</v>
      </c>
      <c r="C187" s="87">
        <f t="shared" si="54"/>
        <v>3</v>
      </c>
      <c r="D187" s="87">
        <f t="shared" si="60"/>
        <v>3</v>
      </c>
      <c r="E187" s="87">
        <f t="shared" si="60"/>
        <v>3</v>
      </c>
      <c r="F187" s="87">
        <f>E187+6</f>
        <v>9</v>
      </c>
      <c r="G187" s="87">
        <f t="shared" si="61"/>
        <v>19</v>
      </c>
      <c r="H187" s="87">
        <f t="shared" si="61"/>
        <v>29</v>
      </c>
      <c r="I187" s="87">
        <f t="shared" si="61"/>
        <v>39</v>
      </c>
      <c r="J187" s="87">
        <f>I187+19</f>
        <v>58</v>
      </c>
      <c r="K187" s="87">
        <f>J187+10</f>
        <v>68</v>
      </c>
      <c r="L187" s="87">
        <f>K187+10</f>
        <v>78</v>
      </c>
      <c r="M187" s="87">
        <f>L187+1</f>
        <v>79</v>
      </c>
      <c r="N187" s="87">
        <f>M187+0</f>
        <v>79</v>
      </c>
      <c r="O187" s="81">
        <v>708</v>
      </c>
      <c r="P187" s="4">
        <v>1</v>
      </c>
      <c r="Q187" s="15" t="s">
        <v>209</v>
      </c>
      <c r="R187" s="15" t="s">
        <v>164</v>
      </c>
      <c r="S187" s="15">
        <v>1991</v>
      </c>
      <c r="T187" s="15" t="s">
        <v>72</v>
      </c>
      <c r="U187" s="15" t="s">
        <v>306</v>
      </c>
    </row>
    <row r="188" spans="1:21" s="85" customFormat="1" x14ac:dyDescent="0.3">
      <c r="A188" s="86">
        <v>122</v>
      </c>
      <c r="B188" s="87">
        <v>0</v>
      </c>
      <c r="C188" s="87">
        <f t="shared" si="54"/>
        <v>0</v>
      </c>
      <c r="D188" s="87">
        <f>C188+30</f>
        <v>30</v>
      </c>
      <c r="E188" s="87">
        <f>D188+20</f>
        <v>50</v>
      </c>
      <c r="F188" s="87">
        <f>E188+0</f>
        <v>50</v>
      </c>
      <c r="G188" s="87">
        <f>F188+28</f>
        <v>78</v>
      </c>
      <c r="H188" s="87">
        <f>G188+0</f>
        <v>78</v>
      </c>
      <c r="I188" s="87">
        <f>H188+0</f>
        <v>78</v>
      </c>
      <c r="J188" s="87">
        <f>I188+17</f>
        <v>95</v>
      </c>
      <c r="K188" s="87">
        <f>J188+0</f>
        <v>95</v>
      </c>
      <c r="L188" s="87">
        <f>K188+23</f>
        <v>118</v>
      </c>
      <c r="M188" s="87">
        <f>L188+0</f>
        <v>118</v>
      </c>
      <c r="N188" s="87">
        <f>M188+4</f>
        <v>122</v>
      </c>
      <c r="O188" s="81">
        <v>1080</v>
      </c>
      <c r="P188" s="70">
        <v>1</v>
      </c>
      <c r="Q188" s="81" t="s">
        <v>78</v>
      </c>
      <c r="R188" s="81" t="s">
        <v>75</v>
      </c>
      <c r="S188" s="81">
        <v>1964</v>
      </c>
      <c r="T188" s="81" t="s">
        <v>76</v>
      </c>
      <c r="U188" s="81"/>
    </row>
    <row r="189" spans="1:21" x14ac:dyDescent="0.3">
      <c r="A189" s="86">
        <v>115</v>
      </c>
      <c r="B189" s="87">
        <v>0</v>
      </c>
      <c r="C189" s="87">
        <f t="shared" si="54"/>
        <v>0</v>
      </c>
      <c r="D189" s="87">
        <f>C189+1</f>
        <v>1</v>
      </c>
      <c r="E189" s="87">
        <f>D189+3</f>
        <v>4</v>
      </c>
      <c r="F189" s="87">
        <f>E189+0</f>
        <v>4</v>
      </c>
      <c r="G189" s="87">
        <f t="shared" ref="G189:G203" si="62">F189+0</f>
        <v>4</v>
      </c>
      <c r="H189" s="87">
        <f>G189+3</f>
        <v>7</v>
      </c>
      <c r="I189" s="87">
        <f>H189+0</f>
        <v>7</v>
      </c>
      <c r="J189" s="87">
        <f>I189+21</f>
        <v>28</v>
      </c>
      <c r="K189" s="87">
        <f>J189+0</f>
        <v>28</v>
      </c>
      <c r="L189" s="87">
        <f>K189+54</f>
        <v>82</v>
      </c>
      <c r="M189" s="87">
        <f>L189+0</f>
        <v>82</v>
      </c>
      <c r="N189" s="87">
        <f>M189+33</f>
        <v>115</v>
      </c>
      <c r="O189" s="81">
        <v>1140</v>
      </c>
      <c r="P189" s="4">
        <v>1</v>
      </c>
      <c r="Q189" s="15" t="s">
        <v>78</v>
      </c>
      <c r="R189" s="15" t="s">
        <v>75</v>
      </c>
      <c r="S189" s="15">
        <v>1964</v>
      </c>
      <c r="T189" s="15" t="s">
        <v>76</v>
      </c>
    </row>
    <row r="190" spans="1:21" x14ac:dyDescent="0.3">
      <c r="A190" s="86">
        <v>44</v>
      </c>
      <c r="B190" s="87">
        <v>0</v>
      </c>
      <c r="C190" s="87">
        <f t="shared" si="54"/>
        <v>0</v>
      </c>
      <c r="D190" s="87">
        <f>C190+0</f>
        <v>0</v>
      </c>
      <c r="E190" s="87">
        <f>D190+1</f>
        <v>1</v>
      </c>
      <c r="F190" s="87">
        <f>E190+1</f>
        <v>2</v>
      </c>
      <c r="G190" s="87">
        <f t="shared" si="62"/>
        <v>2</v>
      </c>
      <c r="H190" s="87">
        <f>G190+3</f>
        <v>5</v>
      </c>
      <c r="I190" s="87">
        <f>H190+4</f>
        <v>9</v>
      </c>
      <c r="J190" s="87">
        <f>I190+5</f>
        <v>14</v>
      </c>
      <c r="K190" s="87">
        <f>J190+5</f>
        <v>19</v>
      </c>
      <c r="L190" s="87">
        <f>K190+9</f>
        <v>28</v>
      </c>
      <c r="M190" s="87">
        <f>L190+8</f>
        <v>36</v>
      </c>
      <c r="N190" s="87">
        <f>M190+8</f>
        <v>44</v>
      </c>
      <c r="O190" s="81">
        <v>540</v>
      </c>
      <c r="P190" s="4">
        <v>3</v>
      </c>
      <c r="Q190" s="15" t="s">
        <v>79</v>
      </c>
      <c r="R190" s="15" t="s">
        <v>80</v>
      </c>
      <c r="S190" s="15">
        <v>1999</v>
      </c>
      <c r="T190" s="15" t="s">
        <v>81</v>
      </c>
    </row>
    <row r="191" spans="1:21" s="85" customFormat="1" x14ac:dyDescent="0.3">
      <c r="A191" s="86">
        <v>153</v>
      </c>
      <c r="B191" s="87">
        <v>17</v>
      </c>
      <c r="C191" s="87">
        <f t="shared" ref="C191:C203" si="63">B191+0</f>
        <v>17</v>
      </c>
      <c r="D191" s="87">
        <f>C191+5</f>
        <v>22</v>
      </c>
      <c r="E191" s="87">
        <f t="shared" ref="E191:E203" si="64">D191+0</f>
        <v>22</v>
      </c>
      <c r="F191" s="87">
        <f>E191+35</f>
        <v>57</v>
      </c>
      <c r="G191" s="87">
        <f t="shared" si="62"/>
        <v>57</v>
      </c>
      <c r="H191" s="87">
        <f t="shared" ref="H191:H198" si="65">G191+0</f>
        <v>57</v>
      </c>
      <c r="I191" s="87">
        <f>H191+29</f>
        <v>86</v>
      </c>
      <c r="J191" s="87">
        <f t="shared" ref="J191:K198" si="66">I191+0</f>
        <v>86</v>
      </c>
      <c r="K191" s="87">
        <f t="shared" si="66"/>
        <v>86</v>
      </c>
      <c r="L191" s="87">
        <f>K191+66</f>
        <v>152</v>
      </c>
      <c r="M191" s="87">
        <f t="shared" ref="M191:M203" si="67">L191+0</f>
        <v>152</v>
      </c>
      <c r="N191" s="87">
        <f>M191+1</f>
        <v>153</v>
      </c>
      <c r="O191" s="81">
        <v>6120</v>
      </c>
      <c r="P191" s="70">
        <v>1</v>
      </c>
      <c r="Q191" s="81" t="s">
        <v>260</v>
      </c>
      <c r="R191" s="81" t="s">
        <v>246</v>
      </c>
      <c r="S191" s="81">
        <v>1976</v>
      </c>
      <c r="T191" s="81" t="s">
        <v>247</v>
      </c>
      <c r="U191" s="81"/>
    </row>
    <row r="192" spans="1:21" x14ac:dyDescent="0.3">
      <c r="A192" s="86">
        <v>168</v>
      </c>
      <c r="B192" s="87">
        <v>1</v>
      </c>
      <c r="C192" s="87">
        <f t="shared" si="63"/>
        <v>1</v>
      </c>
      <c r="D192" s="87">
        <f>C192+0</f>
        <v>1</v>
      </c>
      <c r="E192" s="87">
        <f t="shared" si="64"/>
        <v>1</v>
      </c>
      <c r="F192" s="87">
        <f>E192+4</f>
        <v>5</v>
      </c>
      <c r="G192" s="87">
        <f t="shared" si="62"/>
        <v>5</v>
      </c>
      <c r="H192" s="87">
        <f t="shared" si="65"/>
        <v>5</v>
      </c>
      <c r="I192" s="87">
        <f>H192+23</f>
        <v>28</v>
      </c>
      <c r="J192" s="87">
        <f t="shared" si="66"/>
        <v>28</v>
      </c>
      <c r="K192" s="87">
        <f t="shared" si="66"/>
        <v>28</v>
      </c>
      <c r="L192" s="87">
        <f>K192+87</f>
        <v>115</v>
      </c>
      <c r="M192" s="87">
        <f t="shared" si="67"/>
        <v>115</v>
      </c>
      <c r="N192" s="87">
        <f>M192+53</f>
        <v>168</v>
      </c>
      <c r="O192" s="81">
        <v>6162</v>
      </c>
      <c r="P192" s="4">
        <v>1</v>
      </c>
      <c r="Q192" s="15" t="s">
        <v>260</v>
      </c>
      <c r="R192" s="15" t="s">
        <v>246</v>
      </c>
      <c r="S192" s="15">
        <v>1976</v>
      </c>
      <c r="T192" s="15" t="s">
        <v>247</v>
      </c>
    </row>
    <row r="193" spans="1:21" x14ac:dyDescent="0.3">
      <c r="A193" s="86">
        <v>53</v>
      </c>
      <c r="B193" s="87">
        <v>2</v>
      </c>
      <c r="C193" s="87">
        <f t="shared" si="63"/>
        <v>2</v>
      </c>
      <c r="D193" s="87">
        <f>C193+0</f>
        <v>2</v>
      </c>
      <c r="E193" s="87">
        <f t="shared" si="64"/>
        <v>2</v>
      </c>
      <c r="F193" s="87">
        <f>E193+8</f>
        <v>10</v>
      </c>
      <c r="G193" s="87">
        <f t="shared" si="62"/>
        <v>10</v>
      </c>
      <c r="H193" s="87">
        <f t="shared" si="65"/>
        <v>10</v>
      </c>
      <c r="I193" s="87">
        <f>H193+7</f>
        <v>17</v>
      </c>
      <c r="J193" s="87">
        <f t="shared" si="66"/>
        <v>17</v>
      </c>
      <c r="K193" s="87">
        <f t="shared" si="66"/>
        <v>17</v>
      </c>
      <c r="L193" s="87">
        <f>K193+31</f>
        <v>48</v>
      </c>
      <c r="M193" s="87">
        <f t="shared" si="67"/>
        <v>48</v>
      </c>
      <c r="N193" s="87">
        <f>M193+5</f>
        <v>53</v>
      </c>
      <c r="O193" s="81">
        <v>6120</v>
      </c>
      <c r="P193" s="4">
        <v>1</v>
      </c>
      <c r="Q193" s="15" t="s">
        <v>249</v>
      </c>
      <c r="R193" s="15" t="s">
        <v>246</v>
      </c>
      <c r="S193" s="15">
        <v>1976</v>
      </c>
      <c r="T193" s="15" t="s">
        <v>247</v>
      </c>
    </row>
    <row r="194" spans="1:21" x14ac:dyDescent="0.3">
      <c r="A194" s="86">
        <v>40</v>
      </c>
      <c r="B194" s="87">
        <v>8</v>
      </c>
      <c r="C194" s="87">
        <f t="shared" si="63"/>
        <v>8</v>
      </c>
      <c r="D194" s="87">
        <f>C194+3</f>
        <v>11</v>
      </c>
      <c r="E194" s="87">
        <f t="shared" si="64"/>
        <v>11</v>
      </c>
      <c r="F194" s="87">
        <f>E194+8</f>
        <v>19</v>
      </c>
      <c r="G194" s="87">
        <f t="shared" si="62"/>
        <v>19</v>
      </c>
      <c r="H194" s="87">
        <f t="shared" si="65"/>
        <v>19</v>
      </c>
      <c r="I194" s="87">
        <f>H194+5</f>
        <v>24</v>
      </c>
      <c r="J194" s="87">
        <f t="shared" si="66"/>
        <v>24</v>
      </c>
      <c r="K194" s="87">
        <f t="shared" si="66"/>
        <v>24</v>
      </c>
      <c r="L194" s="87">
        <f>K194+13</f>
        <v>37</v>
      </c>
      <c r="M194" s="87">
        <f t="shared" si="67"/>
        <v>37</v>
      </c>
      <c r="N194" s="87">
        <f>M194+3</f>
        <v>40</v>
      </c>
      <c r="O194" s="81">
        <v>6120</v>
      </c>
      <c r="P194" s="4">
        <v>1</v>
      </c>
      <c r="Q194" s="15" t="s">
        <v>248</v>
      </c>
      <c r="R194" s="15" t="s">
        <v>246</v>
      </c>
      <c r="S194" s="15">
        <v>1976</v>
      </c>
      <c r="T194" s="15" t="s">
        <v>247</v>
      </c>
    </row>
    <row r="195" spans="1:21" s="85" customFormat="1" x14ac:dyDescent="0.3">
      <c r="A195" s="86">
        <v>168</v>
      </c>
      <c r="B195" s="87">
        <v>5</v>
      </c>
      <c r="C195" s="87">
        <f t="shared" si="63"/>
        <v>5</v>
      </c>
      <c r="D195" s="87">
        <f>C195+9</f>
        <v>14</v>
      </c>
      <c r="E195" s="87">
        <f t="shared" si="64"/>
        <v>14</v>
      </c>
      <c r="F195" s="87">
        <f>E195+52</f>
        <v>66</v>
      </c>
      <c r="G195" s="87">
        <f t="shared" si="62"/>
        <v>66</v>
      </c>
      <c r="H195" s="87">
        <f t="shared" si="65"/>
        <v>66</v>
      </c>
      <c r="I195" s="87">
        <f>H195+60</f>
        <v>126</v>
      </c>
      <c r="J195" s="87">
        <f t="shared" si="66"/>
        <v>126</v>
      </c>
      <c r="K195" s="87">
        <f t="shared" si="66"/>
        <v>126</v>
      </c>
      <c r="L195" s="87">
        <f>K195+37</f>
        <v>163</v>
      </c>
      <c r="M195" s="87">
        <f t="shared" si="67"/>
        <v>163</v>
      </c>
      <c r="N195" s="87">
        <f>M195+5</f>
        <v>168</v>
      </c>
      <c r="O195" s="81">
        <v>6120</v>
      </c>
      <c r="P195" s="70">
        <v>2</v>
      </c>
      <c r="Q195" s="81" t="s">
        <v>260</v>
      </c>
      <c r="R195" s="81" t="s">
        <v>246</v>
      </c>
      <c r="S195" s="81">
        <v>1976</v>
      </c>
      <c r="T195" s="81" t="s">
        <v>247</v>
      </c>
      <c r="U195" s="81"/>
    </row>
    <row r="196" spans="1:21" x14ac:dyDescent="0.3">
      <c r="A196" s="86">
        <v>168</v>
      </c>
      <c r="B196" s="87">
        <v>0</v>
      </c>
      <c r="C196" s="87">
        <f t="shared" si="63"/>
        <v>0</v>
      </c>
      <c r="D196" s="87">
        <f>C196+0</f>
        <v>0</v>
      </c>
      <c r="E196" s="87">
        <f t="shared" si="64"/>
        <v>0</v>
      </c>
      <c r="F196" s="87">
        <f>E196+11</f>
        <v>11</v>
      </c>
      <c r="G196" s="87">
        <f t="shared" si="62"/>
        <v>11</v>
      </c>
      <c r="H196" s="87">
        <f t="shared" si="65"/>
        <v>11</v>
      </c>
      <c r="I196" s="87">
        <f>H196+40</f>
        <v>51</v>
      </c>
      <c r="J196" s="87">
        <f t="shared" si="66"/>
        <v>51</v>
      </c>
      <c r="K196" s="87">
        <f t="shared" si="66"/>
        <v>51</v>
      </c>
      <c r="L196" s="87">
        <f>K196+65</f>
        <v>116</v>
      </c>
      <c r="M196" s="87">
        <f t="shared" si="67"/>
        <v>116</v>
      </c>
      <c r="N196" s="87">
        <f>M196+52</f>
        <v>168</v>
      </c>
      <c r="O196" s="81">
        <v>6162</v>
      </c>
      <c r="P196" s="4">
        <v>2</v>
      </c>
      <c r="Q196" s="15" t="s">
        <v>260</v>
      </c>
      <c r="R196" s="15" t="s">
        <v>246</v>
      </c>
      <c r="S196" s="15">
        <v>1976</v>
      </c>
      <c r="T196" s="15" t="s">
        <v>247</v>
      </c>
    </row>
    <row r="197" spans="1:21" x14ac:dyDescent="0.3">
      <c r="A197" s="86">
        <v>53</v>
      </c>
      <c r="B197" s="87">
        <v>0</v>
      </c>
      <c r="C197" s="87">
        <f t="shared" si="63"/>
        <v>0</v>
      </c>
      <c r="D197" s="87">
        <f>C197+1</f>
        <v>1</v>
      </c>
      <c r="E197" s="87">
        <f t="shared" si="64"/>
        <v>1</v>
      </c>
      <c r="F197" s="87">
        <f>E197+13</f>
        <v>14</v>
      </c>
      <c r="G197" s="87">
        <f t="shared" si="62"/>
        <v>14</v>
      </c>
      <c r="H197" s="87">
        <f t="shared" si="65"/>
        <v>14</v>
      </c>
      <c r="I197" s="87">
        <f>H197+16</f>
        <v>30</v>
      </c>
      <c r="J197" s="87">
        <f t="shared" si="66"/>
        <v>30</v>
      </c>
      <c r="K197" s="87">
        <f t="shared" si="66"/>
        <v>30</v>
      </c>
      <c r="L197" s="87">
        <f>K197+21</f>
        <v>51</v>
      </c>
      <c r="M197" s="87">
        <f t="shared" si="67"/>
        <v>51</v>
      </c>
      <c r="N197" s="87">
        <f>M197+2</f>
        <v>53</v>
      </c>
      <c r="O197" s="81">
        <v>6120</v>
      </c>
      <c r="P197" s="4">
        <v>2</v>
      </c>
      <c r="Q197" s="15" t="s">
        <v>249</v>
      </c>
      <c r="R197" s="15" t="s">
        <v>246</v>
      </c>
      <c r="S197" s="15">
        <v>1976</v>
      </c>
      <c r="T197" s="15" t="s">
        <v>247</v>
      </c>
    </row>
    <row r="198" spans="1:21" s="85" customFormat="1" x14ac:dyDescent="0.3">
      <c r="A198" s="86">
        <v>40</v>
      </c>
      <c r="B198" s="87">
        <v>1</v>
      </c>
      <c r="C198" s="87">
        <f t="shared" si="63"/>
        <v>1</v>
      </c>
      <c r="D198" s="87">
        <f>C198+3</f>
        <v>4</v>
      </c>
      <c r="E198" s="87">
        <f t="shared" si="64"/>
        <v>4</v>
      </c>
      <c r="F198" s="87">
        <f>E198+13</f>
        <v>17</v>
      </c>
      <c r="G198" s="87">
        <f t="shared" si="62"/>
        <v>17</v>
      </c>
      <c r="H198" s="87">
        <f t="shared" si="65"/>
        <v>17</v>
      </c>
      <c r="I198" s="87">
        <f>H198+18</f>
        <v>35</v>
      </c>
      <c r="J198" s="87">
        <f t="shared" si="66"/>
        <v>35</v>
      </c>
      <c r="K198" s="87">
        <f t="shared" si="66"/>
        <v>35</v>
      </c>
      <c r="L198" s="87">
        <f>K198+5</f>
        <v>40</v>
      </c>
      <c r="M198" s="87">
        <f t="shared" si="67"/>
        <v>40</v>
      </c>
      <c r="N198" s="87">
        <f>M198+0</f>
        <v>40</v>
      </c>
      <c r="O198" s="81">
        <v>6120</v>
      </c>
      <c r="P198" s="70">
        <v>2</v>
      </c>
      <c r="Q198" s="81" t="s">
        <v>248</v>
      </c>
      <c r="R198" s="81" t="s">
        <v>246</v>
      </c>
      <c r="S198" s="81">
        <v>1976</v>
      </c>
      <c r="T198" s="81" t="s">
        <v>247</v>
      </c>
      <c r="U198" s="81"/>
    </row>
    <row r="199" spans="1:21" x14ac:dyDescent="0.3">
      <c r="A199" s="86">
        <v>168</v>
      </c>
      <c r="B199" s="87">
        <v>13</v>
      </c>
      <c r="C199" s="87">
        <f t="shared" si="63"/>
        <v>13</v>
      </c>
      <c r="D199" s="87">
        <f>C199+18</f>
        <v>31</v>
      </c>
      <c r="E199" s="87">
        <f t="shared" si="64"/>
        <v>31</v>
      </c>
      <c r="F199" s="87">
        <f>E199+0</f>
        <v>31</v>
      </c>
      <c r="G199" s="87">
        <f t="shared" si="62"/>
        <v>31</v>
      </c>
      <c r="H199" s="87">
        <f>G199+73</f>
        <v>104</v>
      </c>
      <c r="I199" s="87">
        <f>H199+0</f>
        <v>104</v>
      </c>
      <c r="J199" s="87">
        <f>I199+57</f>
        <v>161</v>
      </c>
      <c r="K199" s="87">
        <f t="shared" ref="K199:L203" si="68">J199+0</f>
        <v>161</v>
      </c>
      <c r="L199" s="87">
        <f t="shared" si="68"/>
        <v>161</v>
      </c>
      <c r="M199" s="87">
        <f t="shared" si="67"/>
        <v>161</v>
      </c>
      <c r="N199" s="87">
        <f>M199+7</f>
        <v>168</v>
      </c>
      <c r="O199" s="81">
        <v>6120</v>
      </c>
      <c r="P199" s="4">
        <v>3</v>
      </c>
      <c r="Q199" s="15" t="s">
        <v>260</v>
      </c>
      <c r="R199" s="15" t="s">
        <v>246</v>
      </c>
      <c r="S199" s="15">
        <v>1976</v>
      </c>
      <c r="T199" s="15" t="s">
        <v>247</v>
      </c>
    </row>
    <row r="200" spans="1:21" x14ac:dyDescent="0.3">
      <c r="A200" s="86">
        <v>168</v>
      </c>
      <c r="B200" s="87">
        <v>6</v>
      </c>
      <c r="C200" s="87">
        <f t="shared" si="63"/>
        <v>6</v>
      </c>
      <c r="D200" s="87">
        <f>C200+1</f>
        <v>7</v>
      </c>
      <c r="E200" s="87">
        <f t="shared" si="64"/>
        <v>7</v>
      </c>
      <c r="F200" s="87">
        <f>E200+0</f>
        <v>7</v>
      </c>
      <c r="G200" s="87">
        <f t="shared" si="62"/>
        <v>7</v>
      </c>
      <c r="H200" s="87">
        <f>G200+41</f>
        <v>48</v>
      </c>
      <c r="I200" s="87">
        <f>H200+0</f>
        <v>48</v>
      </c>
      <c r="J200" s="87">
        <f>I200+70</f>
        <v>118</v>
      </c>
      <c r="K200" s="87">
        <f t="shared" si="68"/>
        <v>118</v>
      </c>
      <c r="L200" s="87">
        <f t="shared" si="68"/>
        <v>118</v>
      </c>
      <c r="M200" s="87">
        <f t="shared" si="67"/>
        <v>118</v>
      </c>
      <c r="N200" s="87">
        <f>M200+50</f>
        <v>168</v>
      </c>
      <c r="O200" s="81">
        <v>6162</v>
      </c>
      <c r="P200" s="4">
        <v>3</v>
      </c>
      <c r="Q200" s="15" t="s">
        <v>260</v>
      </c>
      <c r="R200" s="15" t="s">
        <v>246</v>
      </c>
      <c r="S200" s="15">
        <v>1976</v>
      </c>
      <c r="T200" s="15" t="s">
        <v>247</v>
      </c>
    </row>
    <row r="201" spans="1:21" s="85" customFormat="1" x14ac:dyDescent="0.3">
      <c r="A201" s="86">
        <v>53</v>
      </c>
      <c r="B201" s="87">
        <v>0</v>
      </c>
      <c r="C201" s="87">
        <f t="shared" si="63"/>
        <v>0</v>
      </c>
      <c r="D201" s="87">
        <f>C201+5</f>
        <v>5</v>
      </c>
      <c r="E201" s="87">
        <f t="shared" si="64"/>
        <v>5</v>
      </c>
      <c r="F201" s="87">
        <f>E201+0</f>
        <v>5</v>
      </c>
      <c r="G201" s="87">
        <f t="shared" si="62"/>
        <v>5</v>
      </c>
      <c r="H201" s="87">
        <f>G201+16</f>
        <v>21</v>
      </c>
      <c r="I201" s="87">
        <f>H201+29</f>
        <v>50</v>
      </c>
      <c r="J201" s="87">
        <f>I201+29</f>
        <v>79</v>
      </c>
      <c r="K201" s="87">
        <f t="shared" si="68"/>
        <v>79</v>
      </c>
      <c r="L201" s="87">
        <f t="shared" si="68"/>
        <v>79</v>
      </c>
      <c r="M201" s="87">
        <f t="shared" si="67"/>
        <v>79</v>
      </c>
      <c r="N201" s="87">
        <f>M201+3</f>
        <v>82</v>
      </c>
      <c r="O201" s="81">
        <v>6120</v>
      </c>
      <c r="P201" s="70">
        <v>3</v>
      </c>
      <c r="Q201" s="81" t="s">
        <v>249</v>
      </c>
      <c r="R201" s="81" t="s">
        <v>246</v>
      </c>
      <c r="S201" s="81">
        <v>1976</v>
      </c>
      <c r="T201" s="81" t="s">
        <v>247</v>
      </c>
      <c r="U201" s="81"/>
    </row>
    <row r="202" spans="1:21" x14ac:dyDescent="0.3">
      <c r="A202" s="86">
        <v>40</v>
      </c>
      <c r="B202" s="87">
        <v>3</v>
      </c>
      <c r="C202" s="87">
        <f t="shared" si="63"/>
        <v>3</v>
      </c>
      <c r="D202" s="87">
        <f>C202+3</f>
        <v>6</v>
      </c>
      <c r="E202" s="87">
        <f t="shared" si="64"/>
        <v>6</v>
      </c>
      <c r="F202" s="87">
        <f>E202+0</f>
        <v>6</v>
      </c>
      <c r="G202" s="87">
        <f t="shared" si="62"/>
        <v>6</v>
      </c>
      <c r="H202" s="87">
        <f>G202+19</f>
        <v>25</v>
      </c>
      <c r="I202" s="87">
        <f>H202+0</f>
        <v>25</v>
      </c>
      <c r="J202" s="87">
        <f>I202+12</f>
        <v>37</v>
      </c>
      <c r="K202" s="87">
        <f t="shared" si="68"/>
        <v>37</v>
      </c>
      <c r="L202" s="87">
        <f t="shared" si="68"/>
        <v>37</v>
      </c>
      <c r="M202" s="87">
        <f t="shared" si="67"/>
        <v>37</v>
      </c>
      <c r="N202" s="87">
        <f>M202+3</f>
        <v>40</v>
      </c>
      <c r="O202" s="81">
        <v>6120</v>
      </c>
      <c r="P202" s="4">
        <v>3</v>
      </c>
      <c r="Q202" s="15" t="s">
        <v>248</v>
      </c>
      <c r="R202" s="15" t="s">
        <v>246</v>
      </c>
      <c r="S202" s="15">
        <v>1976</v>
      </c>
      <c r="T202" s="15" t="s">
        <v>247</v>
      </c>
    </row>
    <row r="203" spans="1:21" x14ac:dyDescent="0.3">
      <c r="A203" s="86"/>
      <c r="B203" s="87">
        <v>0</v>
      </c>
      <c r="C203" s="87">
        <f t="shared" si="63"/>
        <v>0</v>
      </c>
      <c r="D203" s="87">
        <f>C203+0</f>
        <v>0</v>
      </c>
      <c r="E203" s="87">
        <f t="shared" si="64"/>
        <v>0</v>
      </c>
      <c r="F203" s="87">
        <f>E203+0</f>
        <v>0</v>
      </c>
      <c r="G203" s="87">
        <f t="shared" si="62"/>
        <v>0</v>
      </c>
      <c r="H203" s="87">
        <f>G203+0</f>
        <v>0</v>
      </c>
      <c r="I203" s="87">
        <f>H203+0</f>
        <v>0</v>
      </c>
      <c r="J203" s="87">
        <f>I203+0</f>
        <v>0</v>
      </c>
      <c r="K203" s="87">
        <f t="shared" si="68"/>
        <v>0</v>
      </c>
      <c r="L203" s="87">
        <f t="shared" si="68"/>
        <v>0</v>
      </c>
      <c r="M203" s="87">
        <f t="shared" si="67"/>
        <v>0</v>
      </c>
      <c r="N203" s="87">
        <f>M203+0</f>
        <v>0</v>
      </c>
      <c r="O203" s="81"/>
    </row>
    <row r="204" spans="1:21" x14ac:dyDescent="0.3">
      <c r="A204" s="86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1"/>
    </row>
    <row r="205" spans="1:21" x14ac:dyDescent="0.3">
      <c r="A205" s="86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1"/>
    </row>
    <row r="206" spans="1:21" x14ac:dyDescent="0.3">
      <c r="A206" s="86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1"/>
    </row>
    <row r="207" spans="1:21" x14ac:dyDescent="0.3">
      <c r="A207" s="86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1"/>
    </row>
    <row r="273" spans="17:17" x14ac:dyDescent="0.3">
      <c r="Q273" s="18"/>
    </row>
    <row r="274" spans="17:17" x14ac:dyDescent="0.3">
      <c r="Q274" s="18"/>
    </row>
    <row r="275" spans="17:17" x14ac:dyDescent="0.3">
      <c r="Q275" s="18"/>
    </row>
    <row r="276" spans="17:17" x14ac:dyDescent="0.3">
      <c r="Q276" s="18"/>
    </row>
    <row r="277" spans="17:17" x14ac:dyDescent="0.3">
      <c r="Q277" s="18"/>
    </row>
    <row r="278" spans="17:17" x14ac:dyDescent="0.3">
      <c r="Q278" s="18"/>
    </row>
    <row r="482" spans="16:16" x14ac:dyDescent="0.3">
      <c r="P482" s="20"/>
    </row>
    <row r="483" spans="16:16" x14ac:dyDescent="0.3">
      <c r="P483" s="20"/>
    </row>
    <row r="484" spans="16:16" x14ac:dyDescent="0.3">
      <c r="P484" s="20"/>
    </row>
    <row r="485" spans="16:16" x14ac:dyDescent="0.3">
      <c r="P485" s="20"/>
    </row>
    <row r="486" spans="16:16" x14ac:dyDescent="0.3">
      <c r="P486" s="20"/>
    </row>
    <row r="487" spans="16:16" x14ac:dyDescent="0.3">
      <c r="P487" s="20"/>
    </row>
    <row r="488" spans="16:16" x14ac:dyDescent="0.3">
      <c r="P488" s="20"/>
    </row>
    <row r="489" spans="16:16" x14ac:dyDescent="0.3">
      <c r="P489" s="20"/>
    </row>
    <row r="490" spans="16:16" x14ac:dyDescent="0.3">
      <c r="P490" s="20"/>
    </row>
    <row r="491" spans="16:16" x14ac:dyDescent="0.3">
      <c r="P491" s="20"/>
    </row>
    <row r="492" spans="16:16" x14ac:dyDescent="0.3">
      <c r="P492" s="20"/>
    </row>
    <row r="493" spans="16:16" x14ac:dyDescent="0.3">
      <c r="P493" s="20"/>
    </row>
    <row r="494" spans="16:16" x14ac:dyDescent="0.3">
      <c r="P494" s="20"/>
    </row>
    <row r="495" spans="16:16" x14ac:dyDescent="0.3">
      <c r="P495" s="20"/>
    </row>
    <row r="496" spans="16:16" x14ac:dyDescent="0.3">
      <c r="P496" s="20"/>
    </row>
    <row r="497" spans="16:16" x14ac:dyDescent="0.3">
      <c r="P497" s="20"/>
    </row>
    <row r="498" spans="16:16" x14ac:dyDescent="0.3">
      <c r="P498" s="20"/>
    </row>
    <row r="499" spans="16:16" x14ac:dyDescent="0.3">
      <c r="P499" s="20"/>
    </row>
  </sheetData>
  <sortState ref="A2:U499">
    <sortCondition ref="R2:R499"/>
    <sortCondition ref="S2:S499"/>
    <sortCondition ref="P2:P499"/>
    <sortCondition ref="Q2:Q499"/>
    <sortCondition ref="O2:O499"/>
  </sortState>
  <conditionalFormatting sqref="P1:P1048576">
    <cfRule type="cellIs" dxfId="89" priority="133" operator="equal">
      <formula>3</formula>
    </cfRule>
    <cfRule type="cellIs" dxfId="88" priority="134" operator="equal">
      <formula>2</formula>
    </cfRule>
    <cfRule type="cellIs" dxfId="87" priority="135" operator="equal">
      <formula>1</formula>
    </cfRule>
  </conditionalFormatting>
  <conditionalFormatting sqref="Q1:Q1048576">
    <cfRule type="expression" dxfId="86" priority="16">
      <formula>$P1=3</formula>
    </cfRule>
    <cfRule type="expression" dxfId="85" priority="17">
      <formula>$P1=2</formula>
    </cfRule>
    <cfRule type="expression" dxfId="84" priority="18">
      <formula>$P1=1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Q482"/>
  <sheetViews>
    <sheetView zoomScale="57" zoomScaleNormal="57" workbookViewId="0">
      <selection activeCell="W37" sqref="W37"/>
    </sheetView>
  </sheetViews>
  <sheetFormatPr defaultRowHeight="20.25" x14ac:dyDescent="0.3"/>
  <cols>
    <col min="1" max="1" width="9.140625" style="22"/>
    <col min="2" max="2" width="11.7109375" style="23" customWidth="1"/>
    <col min="3" max="36" width="6.7109375" style="23" customWidth="1"/>
    <col min="37" max="37" width="10.28515625" style="15" customWidth="1"/>
    <col min="38" max="38" width="10.28515625" style="4" customWidth="1"/>
    <col min="39" max="39" width="51" style="15" customWidth="1"/>
    <col min="40" max="40" width="17.140625" style="15" customWidth="1"/>
    <col min="41" max="41" width="9.140625" style="15"/>
    <col min="42" max="42" width="13.7109375" style="15" customWidth="1"/>
    <col min="43" max="43" width="26.5703125" style="15" customWidth="1"/>
    <col min="44" max="16384" width="9.140625" style="19"/>
  </cols>
  <sheetData>
    <row r="1" spans="1:43" s="60" customFormat="1" ht="45" customHeight="1" x14ac:dyDescent="0.25">
      <c r="A1" s="57" t="s">
        <v>37</v>
      </c>
      <c r="B1" s="58" t="s">
        <v>278</v>
      </c>
      <c r="C1" s="61">
        <v>0.4</v>
      </c>
      <c r="D1" s="61">
        <f>C1+0.2</f>
        <v>0.60000000000000009</v>
      </c>
      <c r="E1" s="61">
        <f t="shared" ref="E1:L1" si="0">D1+0.2</f>
        <v>0.8</v>
      </c>
      <c r="F1" s="61">
        <f t="shared" si="0"/>
        <v>1</v>
      </c>
      <c r="G1" s="61">
        <f t="shared" si="0"/>
        <v>1.2</v>
      </c>
      <c r="H1" s="61">
        <f t="shared" si="0"/>
        <v>1.4</v>
      </c>
      <c r="I1" s="61">
        <f t="shared" si="0"/>
        <v>1.5999999999999999</v>
      </c>
      <c r="J1" s="61">
        <f t="shared" si="0"/>
        <v>1.7999999999999998</v>
      </c>
      <c r="K1" s="61">
        <f t="shared" si="0"/>
        <v>1.9999999999999998</v>
      </c>
      <c r="L1" s="61">
        <f t="shared" si="0"/>
        <v>2.1999999999999997</v>
      </c>
      <c r="M1" s="61">
        <f>L1+0.2</f>
        <v>2.4</v>
      </c>
      <c r="N1" s="61">
        <f t="shared" ref="N1:AJ1" si="1">M1+0.2</f>
        <v>2.6</v>
      </c>
      <c r="O1" s="61">
        <f t="shared" si="1"/>
        <v>2.8000000000000003</v>
      </c>
      <c r="P1" s="61">
        <f t="shared" si="1"/>
        <v>3.0000000000000004</v>
      </c>
      <c r="Q1" s="61">
        <f t="shared" si="1"/>
        <v>3.2000000000000006</v>
      </c>
      <c r="R1" s="61">
        <f t="shared" si="1"/>
        <v>3.4000000000000008</v>
      </c>
      <c r="S1" s="61">
        <f t="shared" si="1"/>
        <v>3.600000000000001</v>
      </c>
      <c r="T1" s="61">
        <f t="shared" si="1"/>
        <v>3.8000000000000012</v>
      </c>
      <c r="U1" s="61">
        <f t="shared" si="1"/>
        <v>4.0000000000000009</v>
      </c>
      <c r="V1" s="61">
        <f t="shared" si="1"/>
        <v>4.2000000000000011</v>
      </c>
      <c r="W1" s="61">
        <f t="shared" si="1"/>
        <v>4.4000000000000012</v>
      </c>
      <c r="X1" s="61">
        <f t="shared" si="1"/>
        <v>4.6000000000000014</v>
      </c>
      <c r="Y1" s="61">
        <f t="shared" si="1"/>
        <v>4.8000000000000016</v>
      </c>
      <c r="Z1" s="61">
        <f t="shared" si="1"/>
        <v>5.0000000000000018</v>
      </c>
      <c r="AA1" s="61">
        <f t="shared" si="1"/>
        <v>5.200000000000002</v>
      </c>
      <c r="AB1" s="61">
        <f t="shared" si="1"/>
        <v>5.4000000000000021</v>
      </c>
      <c r="AC1" s="61">
        <f t="shared" si="1"/>
        <v>5.6000000000000023</v>
      </c>
      <c r="AD1" s="61">
        <f t="shared" si="1"/>
        <v>5.8000000000000025</v>
      </c>
      <c r="AE1" s="61">
        <f t="shared" si="1"/>
        <v>6.0000000000000027</v>
      </c>
      <c r="AF1" s="61">
        <f t="shared" si="1"/>
        <v>6.2000000000000028</v>
      </c>
      <c r="AG1" s="61">
        <f t="shared" si="1"/>
        <v>6.400000000000003</v>
      </c>
      <c r="AH1" s="61">
        <f t="shared" si="1"/>
        <v>6.6000000000000032</v>
      </c>
      <c r="AI1" s="61">
        <f t="shared" si="1"/>
        <v>6.8000000000000034</v>
      </c>
      <c r="AJ1" s="61">
        <f t="shared" si="1"/>
        <v>7.0000000000000036</v>
      </c>
      <c r="AK1" s="55" t="s">
        <v>0</v>
      </c>
      <c r="AL1" s="43" t="s">
        <v>273</v>
      </c>
      <c r="AM1" s="55" t="s">
        <v>13</v>
      </c>
      <c r="AN1" s="55" t="s">
        <v>10</v>
      </c>
      <c r="AO1" s="55" t="s">
        <v>11</v>
      </c>
      <c r="AP1" s="55" t="s">
        <v>14</v>
      </c>
      <c r="AQ1" s="55" t="s">
        <v>12</v>
      </c>
    </row>
    <row r="2" spans="1:43" x14ac:dyDescent="0.3">
      <c r="A2" s="22">
        <v>37</v>
      </c>
      <c r="B2" s="23">
        <v>4</v>
      </c>
      <c r="C2" s="23">
        <f t="shared" ref="C2:E24" si="2">B2+0</f>
        <v>4</v>
      </c>
      <c r="D2" s="23">
        <f t="shared" si="2"/>
        <v>4</v>
      </c>
      <c r="E2" s="23">
        <f t="shared" si="2"/>
        <v>4</v>
      </c>
      <c r="F2" s="23">
        <f>E2+1</f>
        <v>5</v>
      </c>
      <c r="G2" s="23">
        <f>F2+0</f>
        <v>5</v>
      </c>
      <c r="H2" s="23">
        <f>G2+0</f>
        <v>5</v>
      </c>
      <c r="I2" s="23">
        <f>H2+0</f>
        <v>5</v>
      </c>
      <c r="J2" s="23">
        <f>I2+0</f>
        <v>5</v>
      </c>
      <c r="K2" s="23">
        <f>J2+1</f>
        <v>6</v>
      </c>
      <c r="L2" s="23">
        <f>K2+4</f>
        <v>10</v>
      </c>
      <c r="M2" s="23">
        <f>L2+1</f>
        <v>11</v>
      </c>
      <c r="N2" s="23">
        <f>M2+2</f>
        <v>13</v>
      </c>
      <c r="O2" s="23">
        <f>N2+3</f>
        <v>16</v>
      </c>
      <c r="P2" s="23">
        <f>O2+3</f>
        <v>19</v>
      </c>
      <c r="Q2" s="23">
        <f>P2+5</f>
        <v>24</v>
      </c>
      <c r="R2" s="23">
        <f>Q2+5</f>
        <v>29</v>
      </c>
      <c r="S2" s="23">
        <f>R2+3</f>
        <v>32</v>
      </c>
      <c r="T2" s="23">
        <f>S2+0</f>
        <v>32</v>
      </c>
      <c r="U2" s="23">
        <f>T2+1</f>
        <v>33</v>
      </c>
      <c r="V2" s="23">
        <f>U2+3</f>
        <v>36</v>
      </c>
      <c r="W2" s="23">
        <f>V2+0</f>
        <v>36</v>
      </c>
      <c r="X2" s="23">
        <f>W2+0</f>
        <v>36</v>
      </c>
      <c r="Y2" s="23">
        <f>X2+1</f>
        <v>37</v>
      </c>
      <c r="Z2" s="23">
        <f t="shared" ref="Z2:AJ2" si="3">Y2+0</f>
        <v>37</v>
      </c>
      <c r="AA2" s="23">
        <f t="shared" si="3"/>
        <v>37</v>
      </c>
      <c r="AB2" s="23">
        <f t="shared" si="3"/>
        <v>37</v>
      </c>
      <c r="AC2" s="23">
        <f t="shared" si="3"/>
        <v>37</v>
      </c>
      <c r="AD2" s="23">
        <f t="shared" si="3"/>
        <v>37</v>
      </c>
      <c r="AE2" s="23">
        <f t="shared" si="3"/>
        <v>37</v>
      </c>
      <c r="AF2" s="23">
        <f t="shared" si="3"/>
        <v>37</v>
      </c>
      <c r="AG2" s="23">
        <f t="shared" si="3"/>
        <v>37</v>
      </c>
      <c r="AH2" s="23">
        <f t="shared" si="3"/>
        <v>37</v>
      </c>
      <c r="AI2" s="23">
        <f t="shared" si="3"/>
        <v>37</v>
      </c>
      <c r="AJ2" s="23">
        <f t="shared" si="3"/>
        <v>37</v>
      </c>
      <c r="AK2" s="2">
        <v>2520</v>
      </c>
      <c r="AL2" s="4">
        <v>1</v>
      </c>
      <c r="AM2" s="15" t="s">
        <v>280</v>
      </c>
      <c r="AN2" s="15" t="s">
        <v>63</v>
      </c>
      <c r="AO2" s="15">
        <v>1966</v>
      </c>
      <c r="AP2" s="15" t="s">
        <v>231</v>
      </c>
    </row>
    <row r="3" spans="1:43" x14ac:dyDescent="0.3">
      <c r="A3" s="22">
        <v>38</v>
      </c>
      <c r="B3" s="23">
        <v>2</v>
      </c>
      <c r="C3" s="23">
        <f t="shared" si="2"/>
        <v>2</v>
      </c>
      <c r="D3" s="23">
        <f t="shared" si="2"/>
        <v>2</v>
      </c>
      <c r="E3" s="23">
        <f t="shared" si="2"/>
        <v>2</v>
      </c>
      <c r="F3" s="23">
        <f>E3+0</f>
        <v>2</v>
      </c>
      <c r="G3" s="23">
        <f>F3+1</f>
        <v>3</v>
      </c>
      <c r="H3" s="23">
        <f t="shared" ref="H3:H24" si="4">G3+0</f>
        <v>3</v>
      </c>
      <c r="I3" s="23">
        <f>H3+1</f>
        <v>4</v>
      </c>
      <c r="J3" s="23">
        <f t="shared" ref="J3:J24" si="5">I3+0</f>
        <v>4</v>
      </c>
      <c r="K3" s="23">
        <f>J3+1</f>
        <v>5</v>
      </c>
      <c r="L3" s="23">
        <f>K3+3</f>
        <v>8</v>
      </c>
      <c r="M3" s="23">
        <f>L3+2</f>
        <v>10</v>
      </c>
      <c r="N3" s="23">
        <f>M3+1</f>
        <v>11</v>
      </c>
      <c r="O3" s="23">
        <f>N3+2</f>
        <v>13</v>
      </c>
      <c r="P3" s="23">
        <f>O3+1</f>
        <v>14</v>
      </c>
      <c r="Q3" s="23">
        <f>P3+9</f>
        <v>23</v>
      </c>
      <c r="R3" s="23">
        <f>Q3+5</f>
        <v>28</v>
      </c>
      <c r="S3" s="23">
        <f>R3+1</f>
        <v>29</v>
      </c>
      <c r="T3" s="23">
        <f>S3+0</f>
        <v>29</v>
      </c>
      <c r="U3" s="23">
        <f>T3+2</f>
        <v>31</v>
      </c>
      <c r="V3" s="23">
        <f>U3+2</f>
        <v>33</v>
      </c>
      <c r="W3" s="23">
        <f>V3+4</f>
        <v>37</v>
      </c>
      <c r="X3" s="23">
        <f>W3+0</f>
        <v>37</v>
      </c>
      <c r="Y3" s="23">
        <f>X3+1</f>
        <v>38</v>
      </c>
      <c r="Z3" s="23">
        <f t="shared" ref="Z3:AJ3" si="6">Y3+0</f>
        <v>38</v>
      </c>
      <c r="AA3" s="23">
        <f t="shared" si="6"/>
        <v>38</v>
      </c>
      <c r="AB3" s="23">
        <f t="shared" si="6"/>
        <v>38</v>
      </c>
      <c r="AC3" s="23">
        <f t="shared" si="6"/>
        <v>38</v>
      </c>
      <c r="AD3" s="23">
        <f t="shared" si="6"/>
        <v>38</v>
      </c>
      <c r="AE3" s="23">
        <f t="shared" si="6"/>
        <v>38</v>
      </c>
      <c r="AF3" s="23">
        <f t="shared" si="6"/>
        <v>38</v>
      </c>
      <c r="AG3" s="23">
        <f t="shared" si="6"/>
        <v>38</v>
      </c>
      <c r="AH3" s="23">
        <f t="shared" si="6"/>
        <v>38</v>
      </c>
      <c r="AI3" s="23">
        <f t="shared" si="6"/>
        <v>38</v>
      </c>
      <c r="AJ3" s="23">
        <f t="shared" si="6"/>
        <v>38</v>
      </c>
      <c r="AK3" s="2">
        <v>2520</v>
      </c>
      <c r="AL3" s="4">
        <v>1</v>
      </c>
      <c r="AM3" s="15" t="s">
        <v>281</v>
      </c>
      <c r="AN3" s="15" t="s">
        <v>63</v>
      </c>
      <c r="AO3" s="15">
        <v>1966</v>
      </c>
      <c r="AP3" s="15" t="s">
        <v>231</v>
      </c>
    </row>
    <row r="4" spans="1:43" x14ac:dyDescent="0.3">
      <c r="A4" s="22">
        <v>27</v>
      </c>
      <c r="B4" s="23">
        <v>3</v>
      </c>
      <c r="C4" s="23">
        <f t="shared" si="2"/>
        <v>3</v>
      </c>
      <c r="D4" s="23">
        <f t="shared" si="2"/>
        <v>3</v>
      </c>
      <c r="E4" s="23">
        <f t="shared" si="2"/>
        <v>3</v>
      </c>
      <c r="F4" s="23">
        <f>E4+1</f>
        <v>4</v>
      </c>
      <c r="G4" s="23">
        <f t="shared" ref="G4:G24" si="7">F4+0</f>
        <v>4</v>
      </c>
      <c r="H4" s="23">
        <f t="shared" si="4"/>
        <v>4</v>
      </c>
      <c r="I4" s="23">
        <f>H4+1</f>
        <v>5</v>
      </c>
      <c r="J4" s="23">
        <f t="shared" si="5"/>
        <v>5</v>
      </c>
      <c r="K4" s="23">
        <f t="shared" ref="K4:K24" si="8">J4+0</f>
        <v>5</v>
      </c>
      <c r="L4" s="23">
        <f>K4+3</f>
        <v>8</v>
      </c>
      <c r="M4" s="23">
        <f>L4+1</f>
        <v>9</v>
      </c>
      <c r="N4" s="23">
        <f>M4+1</f>
        <v>10</v>
      </c>
      <c r="O4" s="23">
        <f t="shared" ref="O4:O24" si="9">N4+0</f>
        <v>10</v>
      </c>
      <c r="P4" s="23">
        <f>O4+1</f>
        <v>11</v>
      </c>
      <c r="Q4" s="23">
        <f>P4+5</f>
        <v>16</v>
      </c>
      <c r="R4" s="23">
        <f>Q4+5</f>
        <v>21</v>
      </c>
      <c r="S4" s="23">
        <f>R4+1</f>
        <v>22</v>
      </c>
      <c r="T4" s="23">
        <f>S4+1</f>
        <v>23</v>
      </c>
      <c r="U4" s="23">
        <f t="shared" ref="U4:U24" si="10">T4+0</f>
        <v>23</v>
      </c>
      <c r="V4" s="23">
        <f>U4+4</f>
        <v>27</v>
      </c>
      <c r="W4" s="23">
        <f t="shared" ref="W4:W24" si="11">V4+0</f>
        <v>27</v>
      </c>
      <c r="X4" s="23">
        <f>W4+0</f>
        <v>27</v>
      </c>
      <c r="Y4" s="23">
        <f t="shared" ref="Y4:Y24" si="12">X4+0</f>
        <v>27</v>
      </c>
      <c r="Z4" s="23">
        <f t="shared" ref="Z4:AJ9" si="13">Y4+0</f>
        <v>27</v>
      </c>
      <c r="AA4" s="23">
        <f t="shared" si="13"/>
        <v>27</v>
      </c>
      <c r="AB4" s="23">
        <f t="shared" si="13"/>
        <v>27</v>
      </c>
      <c r="AC4" s="23">
        <f t="shared" si="13"/>
        <v>27</v>
      </c>
      <c r="AD4" s="23">
        <f t="shared" si="13"/>
        <v>27</v>
      </c>
      <c r="AE4" s="23">
        <f t="shared" si="13"/>
        <v>27</v>
      </c>
      <c r="AF4" s="23">
        <f t="shared" si="13"/>
        <v>27</v>
      </c>
      <c r="AG4" s="23">
        <f t="shared" si="13"/>
        <v>27</v>
      </c>
      <c r="AH4" s="23">
        <f t="shared" si="13"/>
        <v>27</v>
      </c>
      <c r="AI4" s="23">
        <f t="shared" si="13"/>
        <v>27</v>
      </c>
      <c r="AJ4" s="23">
        <f t="shared" si="13"/>
        <v>27</v>
      </c>
      <c r="AK4" s="2">
        <v>2520</v>
      </c>
      <c r="AL4" s="4">
        <v>1</v>
      </c>
      <c r="AM4" s="15" t="s">
        <v>282</v>
      </c>
      <c r="AN4" s="15" t="s">
        <v>63</v>
      </c>
      <c r="AO4" s="15">
        <v>1966</v>
      </c>
      <c r="AP4" s="15" t="s">
        <v>231</v>
      </c>
    </row>
    <row r="5" spans="1:43" x14ac:dyDescent="0.3">
      <c r="A5" s="1">
        <f>7*40/42</f>
        <v>6.666666666666667</v>
      </c>
      <c r="B5" s="23">
        <v>0</v>
      </c>
      <c r="C5" s="23">
        <f t="shared" ref="C5:C9" si="14">B5+0</f>
        <v>0</v>
      </c>
      <c r="D5" s="23">
        <f t="shared" ref="D5:D9" si="15">C5+0</f>
        <v>0</v>
      </c>
      <c r="E5" s="23">
        <f t="shared" ref="E5:E9" si="16">D5+0</f>
        <v>0</v>
      </c>
      <c r="F5" s="23">
        <f t="shared" ref="F5:F9" si="17">E5+0</f>
        <v>0</v>
      </c>
      <c r="G5" s="23">
        <f t="shared" ref="G5:G9" si="18">F5+0</f>
        <v>0</v>
      </c>
      <c r="H5" s="23">
        <f t="shared" ref="H5:H9" si="19">G5+0</f>
        <v>0</v>
      </c>
      <c r="I5" s="23">
        <f>H5+5</f>
        <v>5</v>
      </c>
      <c r="J5" s="23">
        <f t="shared" ref="J5:J9" si="20">I5+0</f>
        <v>5</v>
      </c>
      <c r="K5" s="23">
        <f t="shared" ref="K5:K9" si="21">J5+0</f>
        <v>5</v>
      </c>
      <c r="L5" s="23">
        <f t="shared" ref="L5:L9" si="22">K5+0</f>
        <v>5</v>
      </c>
      <c r="M5" s="23">
        <f t="shared" ref="M5:M9" si="23">L5+0</f>
        <v>5</v>
      </c>
      <c r="N5" s="23">
        <f t="shared" ref="N5:N9" si="24">M5+0</f>
        <v>5</v>
      </c>
      <c r="O5" s="23">
        <f t="shared" ref="O5:O9" si="25">N5+0</f>
        <v>5</v>
      </c>
      <c r="P5" s="23">
        <f t="shared" ref="P5:P9" si="26">O5+0</f>
        <v>5</v>
      </c>
      <c r="Q5" s="23">
        <f t="shared" ref="Q5:Q9" si="27">P5+0</f>
        <v>5</v>
      </c>
      <c r="R5" s="23">
        <f t="shared" ref="R5:R9" si="28">Q5+0</f>
        <v>5</v>
      </c>
      <c r="S5" s="23">
        <f>R5+11</f>
        <v>16</v>
      </c>
      <c r="T5" s="23">
        <f t="shared" ref="T5:T9" si="29">S5+0</f>
        <v>16</v>
      </c>
      <c r="U5" s="23">
        <f t="shared" ref="U5:U9" si="30">T5+0</f>
        <v>16</v>
      </c>
      <c r="V5" s="23">
        <f t="shared" ref="V5:V9" si="31">U5+0</f>
        <v>16</v>
      </c>
      <c r="W5" s="23">
        <f t="shared" ref="W5:W9" si="32">V5+0</f>
        <v>16</v>
      </c>
      <c r="X5" s="23">
        <f t="shared" ref="X5:X14" si="33">W5+20</f>
        <v>36</v>
      </c>
      <c r="Y5" s="23">
        <f t="shared" ref="Y5:Y9" si="34">X5+0</f>
        <v>36</v>
      </c>
      <c r="Z5" s="23">
        <f t="shared" si="13"/>
        <v>36</v>
      </c>
      <c r="AA5" s="23">
        <f t="shared" si="13"/>
        <v>36</v>
      </c>
      <c r="AB5" s="23">
        <f t="shared" si="13"/>
        <v>36</v>
      </c>
      <c r="AC5" s="23">
        <f t="shared" si="13"/>
        <v>36</v>
      </c>
      <c r="AD5" s="23">
        <f t="shared" si="13"/>
        <v>36</v>
      </c>
      <c r="AE5" s="23">
        <f>AD5+4</f>
        <v>40</v>
      </c>
      <c r="AF5" s="23">
        <f t="shared" si="13"/>
        <v>40</v>
      </c>
      <c r="AG5" s="23">
        <f t="shared" si="13"/>
        <v>40</v>
      </c>
      <c r="AH5" s="23">
        <f t="shared" si="13"/>
        <v>40</v>
      </c>
      <c r="AI5" s="23">
        <f t="shared" si="13"/>
        <v>40</v>
      </c>
      <c r="AJ5" s="23">
        <f t="shared" si="13"/>
        <v>40</v>
      </c>
      <c r="AK5" s="15">
        <v>180</v>
      </c>
      <c r="AL5" s="4">
        <v>1</v>
      </c>
      <c r="AM5" s="15" t="s">
        <v>290</v>
      </c>
      <c r="AN5" s="15" t="s">
        <v>166</v>
      </c>
      <c r="AO5" s="15">
        <v>1966</v>
      </c>
      <c r="AP5" s="15" t="s">
        <v>208</v>
      </c>
    </row>
    <row r="6" spans="1:43" x14ac:dyDescent="0.3">
      <c r="A6" s="1">
        <f>7*40/42</f>
        <v>6.666666666666667</v>
      </c>
      <c r="B6" s="23">
        <v>0</v>
      </c>
      <c r="C6" s="23">
        <f t="shared" si="14"/>
        <v>0</v>
      </c>
      <c r="D6" s="23">
        <f t="shared" si="15"/>
        <v>0</v>
      </c>
      <c r="E6" s="23">
        <f t="shared" si="16"/>
        <v>0</v>
      </c>
      <c r="F6" s="23">
        <f t="shared" si="17"/>
        <v>0</v>
      </c>
      <c r="G6" s="23">
        <f t="shared" si="18"/>
        <v>0</v>
      </c>
      <c r="H6" s="23">
        <f t="shared" si="19"/>
        <v>0</v>
      </c>
      <c r="I6" s="23">
        <f>H6+5</f>
        <v>5</v>
      </c>
      <c r="J6" s="23">
        <f t="shared" si="20"/>
        <v>5</v>
      </c>
      <c r="K6" s="23">
        <f t="shared" si="21"/>
        <v>5</v>
      </c>
      <c r="L6" s="23">
        <f t="shared" si="22"/>
        <v>5</v>
      </c>
      <c r="M6" s="23">
        <f t="shared" si="23"/>
        <v>5</v>
      </c>
      <c r="N6" s="23">
        <f t="shared" si="24"/>
        <v>5</v>
      </c>
      <c r="O6" s="23">
        <f t="shared" si="25"/>
        <v>5</v>
      </c>
      <c r="P6" s="23">
        <f t="shared" si="26"/>
        <v>5</v>
      </c>
      <c r="Q6" s="23">
        <f t="shared" si="27"/>
        <v>5</v>
      </c>
      <c r="R6" s="23">
        <f t="shared" si="28"/>
        <v>5</v>
      </c>
      <c r="S6" s="23">
        <f>R6+11</f>
        <v>16</v>
      </c>
      <c r="T6" s="23">
        <f t="shared" si="29"/>
        <v>16</v>
      </c>
      <c r="U6" s="23">
        <f t="shared" si="30"/>
        <v>16</v>
      </c>
      <c r="V6" s="23">
        <f t="shared" si="31"/>
        <v>16</v>
      </c>
      <c r="W6" s="23">
        <f t="shared" si="32"/>
        <v>16</v>
      </c>
      <c r="X6" s="23">
        <f t="shared" si="33"/>
        <v>36</v>
      </c>
      <c r="Y6" s="23">
        <f t="shared" si="34"/>
        <v>36</v>
      </c>
      <c r="Z6" s="23">
        <f t="shared" si="13"/>
        <v>36</v>
      </c>
      <c r="AA6" s="23">
        <f t="shared" si="13"/>
        <v>36</v>
      </c>
      <c r="AB6" s="23">
        <f t="shared" si="13"/>
        <v>36</v>
      </c>
      <c r="AC6" s="23">
        <f t="shared" si="13"/>
        <v>36</v>
      </c>
      <c r="AD6" s="23">
        <f t="shared" si="13"/>
        <v>36</v>
      </c>
      <c r="AE6" s="23">
        <f>AD6+4</f>
        <v>40</v>
      </c>
      <c r="AF6" s="23">
        <f t="shared" si="13"/>
        <v>40</v>
      </c>
      <c r="AG6" s="23">
        <f t="shared" si="13"/>
        <v>40</v>
      </c>
      <c r="AH6" s="23">
        <f t="shared" si="13"/>
        <v>40</v>
      </c>
      <c r="AI6" s="23">
        <f t="shared" si="13"/>
        <v>40</v>
      </c>
      <c r="AJ6" s="23">
        <f t="shared" si="13"/>
        <v>40</v>
      </c>
      <c r="AK6" s="15">
        <v>180</v>
      </c>
      <c r="AL6" s="4">
        <v>1</v>
      </c>
      <c r="AM6" s="15" t="s">
        <v>291</v>
      </c>
      <c r="AN6" s="15" t="s">
        <v>166</v>
      </c>
      <c r="AO6" s="15">
        <v>1966</v>
      </c>
      <c r="AP6" s="15" t="s">
        <v>208</v>
      </c>
    </row>
    <row r="7" spans="1:43" x14ac:dyDescent="0.3">
      <c r="A7" s="1">
        <f>10*40/42</f>
        <v>9.5238095238095237</v>
      </c>
      <c r="B7" s="23">
        <v>0</v>
      </c>
      <c r="C7" s="23">
        <f t="shared" si="14"/>
        <v>0</v>
      </c>
      <c r="D7" s="23">
        <f t="shared" si="15"/>
        <v>0</v>
      </c>
      <c r="E7" s="23">
        <f t="shared" si="16"/>
        <v>0</v>
      </c>
      <c r="F7" s="23">
        <f t="shared" si="17"/>
        <v>0</v>
      </c>
      <c r="G7" s="23">
        <f t="shared" si="18"/>
        <v>0</v>
      </c>
      <c r="H7" s="23">
        <f t="shared" si="19"/>
        <v>0</v>
      </c>
      <c r="I7" s="23">
        <f>H7+5</f>
        <v>5</v>
      </c>
      <c r="J7" s="23">
        <f t="shared" si="20"/>
        <v>5</v>
      </c>
      <c r="K7" s="23">
        <f t="shared" si="21"/>
        <v>5</v>
      </c>
      <c r="L7" s="23">
        <f t="shared" si="22"/>
        <v>5</v>
      </c>
      <c r="M7" s="23">
        <f t="shared" si="23"/>
        <v>5</v>
      </c>
      <c r="N7" s="23">
        <f t="shared" si="24"/>
        <v>5</v>
      </c>
      <c r="O7" s="23">
        <f t="shared" si="25"/>
        <v>5</v>
      </c>
      <c r="P7" s="23">
        <f t="shared" si="26"/>
        <v>5</v>
      </c>
      <c r="Q7" s="23">
        <f t="shared" si="27"/>
        <v>5</v>
      </c>
      <c r="R7" s="23">
        <f t="shared" si="28"/>
        <v>5</v>
      </c>
      <c r="S7" s="23">
        <f>R7+11</f>
        <v>16</v>
      </c>
      <c r="T7" s="23">
        <f t="shared" si="29"/>
        <v>16</v>
      </c>
      <c r="U7" s="23">
        <f t="shared" si="30"/>
        <v>16</v>
      </c>
      <c r="V7" s="23">
        <f t="shared" si="31"/>
        <v>16</v>
      </c>
      <c r="W7" s="23">
        <f t="shared" si="32"/>
        <v>16</v>
      </c>
      <c r="X7" s="23">
        <f t="shared" si="33"/>
        <v>36</v>
      </c>
      <c r="Y7" s="23">
        <f t="shared" si="34"/>
        <v>36</v>
      </c>
      <c r="Z7" s="23">
        <f t="shared" si="13"/>
        <v>36</v>
      </c>
      <c r="AA7" s="23">
        <f t="shared" si="13"/>
        <v>36</v>
      </c>
      <c r="AB7" s="23">
        <f t="shared" si="13"/>
        <v>36</v>
      </c>
      <c r="AC7" s="23">
        <f t="shared" si="13"/>
        <v>36</v>
      </c>
      <c r="AD7" s="23">
        <f t="shared" si="13"/>
        <v>36</v>
      </c>
      <c r="AE7" s="23">
        <f>AD7+4</f>
        <v>40</v>
      </c>
      <c r="AF7" s="23">
        <f t="shared" si="13"/>
        <v>40</v>
      </c>
      <c r="AG7" s="23">
        <f t="shared" si="13"/>
        <v>40</v>
      </c>
      <c r="AH7" s="23">
        <f t="shared" si="13"/>
        <v>40</v>
      </c>
      <c r="AI7" s="23">
        <f t="shared" si="13"/>
        <v>40</v>
      </c>
      <c r="AJ7" s="23">
        <f t="shared" si="13"/>
        <v>40</v>
      </c>
      <c r="AK7" s="15">
        <v>180</v>
      </c>
      <c r="AL7" s="4">
        <v>1</v>
      </c>
      <c r="AM7" s="15" t="s">
        <v>292</v>
      </c>
      <c r="AN7" s="15" t="s">
        <v>166</v>
      </c>
      <c r="AO7" s="15">
        <v>1966</v>
      </c>
      <c r="AP7" s="15" t="s">
        <v>208</v>
      </c>
    </row>
    <row r="8" spans="1:43" x14ac:dyDescent="0.3">
      <c r="A8" s="1">
        <f>9*40/42</f>
        <v>8.5714285714285712</v>
      </c>
      <c r="B8" s="23">
        <v>0</v>
      </c>
      <c r="C8" s="23">
        <f t="shared" si="14"/>
        <v>0</v>
      </c>
      <c r="D8" s="23">
        <f t="shared" si="15"/>
        <v>0</v>
      </c>
      <c r="E8" s="23">
        <f t="shared" si="16"/>
        <v>0</v>
      </c>
      <c r="F8" s="23">
        <f t="shared" si="17"/>
        <v>0</v>
      </c>
      <c r="G8" s="23">
        <f t="shared" si="18"/>
        <v>0</v>
      </c>
      <c r="H8" s="23">
        <f t="shared" si="19"/>
        <v>0</v>
      </c>
      <c r="I8" s="23">
        <f>H8+5</f>
        <v>5</v>
      </c>
      <c r="J8" s="23">
        <f t="shared" si="20"/>
        <v>5</v>
      </c>
      <c r="K8" s="23">
        <f t="shared" si="21"/>
        <v>5</v>
      </c>
      <c r="L8" s="23">
        <f t="shared" si="22"/>
        <v>5</v>
      </c>
      <c r="M8" s="23">
        <f t="shared" si="23"/>
        <v>5</v>
      </c>
      <c r="N8" s="23">
        <f t="shared" si="24"/>
        <v>5</v>
      </c>
      <c r="O8" s="23">
        <f t="shared" si="25"/>
        <v>5</v>
      </c>
      <c r="P8" s="23">
        <f t="shared" si="26"/>
        <v>5</v>
      </c>
      <c r="Q8" s="23">
        <f t="shared" si="27"/>
        <v>5</v>
      </c>
      <c r="R8" s="23">
        <f t="shared" si="28"/>
        <v>5</v>
      </c>
      <c r="S8" s="23">
        <f>R8+11</f>
        <v>16</v>
      </c>
      <c r="T8" s="23">
        <f t="shared" si="29"/>
        <v>16</v>
      </c>
      <c r="U8" s="23">
        <f t="shared" si="30"/>
        <v>16</v>
      </c>
      <c r="V8" s="23">
        <f t="shared" si="31"/>
        <v>16</v>
      </c>
      <c r="W8" s="23">
        <f t="shared" si="32"/>
        <v>16</v>
      </c>
      <c r="X8" s="23">
        <f t="shared" si="33"/>
        <v>36</v>
      </c>
      <c r="Y8" s="23">
        <f t="shared" si="34"/>
        <v>36</v>
      </c>
      <c r="Z8" s="23">
        <f t="shared" si="13"/>
        <v>36</v>
      </c>
      <c r="AA8" s="23">
        <f t="shared" si="13"/>
        <v>36</v>
      </c>
      <c r="AB8" s="23">
        <f t="shared" si="13"/>
        <v>36</v>
      </c>
      <c r="AC8" s="23">
        <f t="shared" si="13"/>
        <v>36</v>
      </c>
      <c r="AD8" s="23">
        <f t="shared" si="13"/>
        <v>36</v>
      </c>
      <c r="AE8" s="23">
        <f>AD8+4</f>
        <v>40</v>
      </c>
      <c r="AF8" s="23">
        <f t="shared" si="13"/>
        <v>40</v>
      </c>
      <c r="AG8" s="23">
        <f t="shared" si="13"/>
        <v>40</v>
      </c>
      <c r="AH8" s="23">
        <f t="shared" si="13"/>
        <v>40</v>
      </c>
      <c r="AI8" s="23">
        <f t="shared" si="13"/>
        <v>40</v>
      </c>
      <c r="AJ8" s="23">
        <f t="shared" si="13"/>
        <v>40</v>
      </c>
      <c r="AK8" s="15">
        <v>180</v>
      </c>
      <c r="AL8" s="4">
        <v>1</v>
      </c>
      <c r="AM8" s="15" t="s">
        <v>293</v>
      </c>
      <c r="AN8" s="15" t="s">
        <v>166</v>
      </c>
      <c r="AO8" s="15">
        <v>1966</v>
      </c>
      <c r="AP8" s="15" t="s">
        <v>208</v>
      </c>
    </row>
    <row r="9" spans="1:43" x14ac:dyDescent="0.3">
      <c r="A9" s="1">
        <f>9*40/42</f>
        <v>8.5714285714285712</v>
      </c>
      <c r="B9" s="23">
        <v>0</v>
      </c>
      <c r="C9" s="23">
        <f t="shared" si="14"/>
        <v>0</v>
      </c>
      <c r="D9" s="23">
        <f t="shared" si="15"/>
        <v>0</v>
      </c>
      <c r="E9" s="23">
        <f t="shared" si="16"/>
        <v>0</v>
      </c>
      <c r="F9" s="23">
        <f t="shared" si="17"/>
        <v>0</v>
      </c>
      <c r="G9" s="23">
        <f t="shared" si="18"/>
        <v>0</v>
      </c>
      <c r="H9" s="23">
        <f t="shared" si="19"/>
        <v>0</v>
      </c>
      <c r="I9" s="23">
        <f>H9+5</f>
        <v>5</v>
      </c>
      <c r="J9" s="23">
        <f t="shared" si="20"/>
        <v>5</v>
      </c>
      <c r="K9" s="23">
        <f t="shared" si="21"/>
        <v>5</v>
      </c>
      <c r="L9" s="23">
        <f t="shared" si="22"/>
        <v>5</v>
      </c>
      <c r="M9" s="23">
        <f t="shared" si="23"/>
        <v>5</v>
      </c>
      <c r="N9" s="23">
        <f t="shared" si="24"/>
        <v>5</v>
      </c>
      <c r="O9" s="23">
        <f t="shared" si="25"/>
        <v>5</v>
      </c>
      <c r="P9" s="23">
        <f t="shared" si="26"/>
        <v>5</v>
      </c>
      <c r="Q9" s="23">
        <f t="shared" si="27"/>
        <v>5</v>
      </c>
      <c r="R9" s="23">
        <f t="shared" si="28"/>
        <v>5</v>
      </c>
      <c r="S9" s="23">
        <f>R9+11</f>
        <v>16</v>
      </c>
      <c r="T9" s="23">
        <f t="shared" si="29"/>
        <v>16</v>
      </c>
      <c r="U9" s="23">
        <f t="shared" si="30"/>
        <v>16</v>
      </c>
      <c r="V9" s="23">
        <f t="shared" si="31"/>
        <v>16</v>
      </c>
      <c r="W9" s="23">
        <f t="shared" si="32"/>
        <v>16</v>
      </c>
      <c r="X9" s="23">
        <f t="shared" si="33"/>
        <v>36</v>
      </c>
      <c r="Y9" s="23">
        <f t="shared" si="34"/>
        <v>36</v>
      </c>
      <c r="Z9" s="23">
        <f t="shared" si="13"/>
        <v>36</v>
      </c>
      <c r="AA9" s="23">
        <f t="shared" si="13"/>
        <v>36</v>
      </c>
      <c r="AB9" s="23">
        <f t="shared" si="13"/>
        <v>36</v>
      </c>
      <c r="AC9" s="23">
        <f t="shared" si="13"/>
        <v>36</v>
      </c>
      <c r="AD9" s="23">
        <f t="shared" si="13"/>
        <v>36</v>
      </c>
      <c r="AE9" s="23">
        <f>AD9+4</f>
        <v>40</v>
      </c>
      <c r="AF9" s="23">
        <f t="shared" si="13"/>
        <v>40</v>
      </c>
      <c r="AG9" s="23">
        <f t="shared" si="13"/>
        <v>40</v>
      </c>
      <c r="AH9" s="23">
        <f t="shared" si="13"/>
        <v>40</v>
      </c>
      <c r="AI9" s="23">
        <f t="shared" si="13"/>
        <v>40</v>
      </c>
      <c r="AJ9" s="23">
        <f t="shared" si="13"/>
        <v>40</v>
      </c>
      <c r="AK9" s="15">
        <v>180</v>
      </c>
      <c r="AL9" s="4">
        <v>1</v>
      </c>
      <c r="AM9" s="15" t="s">
        <v>294</v>
      </c>
      <c r="AN9" s="15" t="s">
        <v>166</v>
      </c>
      <c r="AO9" s="15">
        <v>1966</v>
      </c>
      <c r="AP9" s="15" t="s">
        <v>208</v>
      </c>
    </row>
    <row r="10" spans="1:43" x14ac:dyDescent="0.3">
      <c r="A10" s="22">
        <v>5</v>
      </c>
      <c r="B10" s="23">
        <v>0</v>
      </c>
      <c r="C10" s="23">
        <f t="shared" si="2"/>
        <v>0</v>
      </c>
      <c r="D10" s="23">
        <f t="shared" si="2"/>
        <v>0</v>
      </c>
      <c r="E10" s="23">
        <f t="shared" si="2"/>
        <v>0</v>
      </c>
      <c r="F10" s="23">
        <f t="shared" ref="F10:F24" si="35">E10+0</f>
        <v>0</v>
      </c>
      <c r="G10" s="23">
        <f t="shared" si="7"/>
        <v>0</v>
      </c>
      <c r="H10" s="23">
        <f t="shared" si="4"/>
        <v>0</v>
      </c>
      <c r="I10" s="23">
        <f>H10+0</f>
        <v>0</v>
      </c>
      <c r="J10" s="23">
        <f t="shared" si="5"/>
        <v>0</v>
      </c>
      <c r="K10" s="23">
        <f t="shared" si="8"/>
        <v>0</v>
      </c>
      <c r="L10" s="23">
        <f t="shared" ref="L10:N24" si="36">K10+0</f>
        <v>0</v>
      </c>
      <c r="M10" s="23">
        <f t="shared" si="36"/>
        <v>0</v>
      </c>
      <c r="N10" s="23">
        <f t="shared" si="36"/>
        <v>0</v>
      </c>
      <c r="O10" s="23">
        <f t="shared" si="9"/>
        <v>0</v>
      </c>
      <c r="P10" s="23">
        <f t="shared" ref="P10:R24" si="37">O10+0</f>
        <v>0</v>
      </c>
      <c r="Q10" s="23">
        <f t="shared" si="37"/>
        <v>0</v>
      </c>
      <c r="R10" s="23">
        <f t="shared" si="37"/>
        <v>0</v>
      </c>
      <c r="S10" s="23">
        <f t="shared" ref="S10:S22" si="38">R10+2</f>
        <v>2</v>
      </c>
      <c r="T10" s="23">
        <f t="shared" ref="T10:T24" si="39">S10+0</f>
        <v>2</v>
      </c>
      <c r="U10" s="23">
        <f t="shared" si="10"/>
        <v>2</v>
      </c>
      <c r="V10" s="23">
        <f t="shared" ref="V10:V24" si="40">U10+0</f>
        <v>2</v>
      </c>
      <c r="W10" s="23">
        <f t="shared" si="11"/>
        <v>2</v>
      </c>
      <c r="X10" s="23">
        <f t="shared" si="33"/>
        <v>22</v>
      </c>
      <c r="Y10" s="23">
        <f t="shared" si="12"/>
        <v>22</v>
      </c>
      <c r="Z10" s="23">
        <f t="shared" ref="Z10:AD24" si="41">Y10+0</f>
        <v>22</v>
      </c>
      <c r="AA10" s="23">
        <f t="shared" si="41"/>
        <v>22</v>
      </c>
      <c r="AB10" s="23">
        <f t="shared" si="41"/>
        <v>22</v>
      </c>
      <c r="AC10" s="23">
        <f t="shared" si="41"/>
        <v>22</v>
      </c>
      <c r="AD10" s="23">
        <f t="shared" si="41"/>
        <v>22</v>
      </c>
      <c r="AE10" s="23">
        <f>AD10+16</f>
        <v>38</v>
      </c>
      <c r="AF10" s="23">
        <f t="shared" ref="AF10:AJ24" si="42">AE10+0</f>
        <v>38</v>
      </c>
      <c r="AG10" s="23">
        <f t="shared" si="42"/>
        <v>38</v>
      </c>
      <c r="AH10" s="23">
        <f t="shared" si="42"/>
        <v>38</v>
      </c>
      <c r="AI10" s="23">
        <f t="shared" si="42"/>
        <v>38</v>
      </c>
      <c r="AJ10" s="23">
        <f t="shared" si="42"/>
        <v>38</v>
      </c>
      <c r="AK10" s="15">
        <v>180</v>
      </c>
      <c r="AL10" s="4">
        <v>1</v>
      </c>
      <c r="AM10" s="15" t="s">
        <v>171</v>
      </c>
      <c r="AN10" s="15" t="s">
        <v>166</v>
      </c>
      <c r="AO10" s="15">
        <v>1966</v>
      </c>
      <c r="AP10" s="15" t="s">
        <v>208</v>
      </c>
      <c r="AQ10" s="15" t="s">
        <v>192</v>
      </c>
    </row>
    <row r="11" spans="1:43" x14ac:dyDescent="0.3">
      <c r="A11" s="22">
        <v>6</v>
      </c>
      <c r="B11" s="23">
        <v>0</v>
      </c>
      <c r="C11" s="23">
        <f t="shared" ref="C11:C12" si="43">B11+0</f>
        <v>0</v>
      </c>
      <c r="D11" s="23">
        <f t="shared" ref="D11:D12" si="44">C11+0</f>
        <v>0</v>
      </c>
      <c r="E11" s="23">
        <f t="shared" ref="E11:E12" si="45">D11+0</f>
        <v>0</v>
      </c>
      <c r="F11" s="23">
        <f t="shared" si="35"/>
        <v>0</v>
      </c>
      <c r="G11" s="23">
        <f t="shared" si="7"/>
        <v>0</v>
      </c>
      <c r="H11" s="23">
        <f t="shared" si="4"/>
        <v>0</v>
      </c>
      <c r="I11" s="23">
        <f>H11+0</f>
        <v>0</v>
      </c>
      <c r="J11" s="23">
        <f t="shared" si="5"/>
        <v>0</v>
      </c>
      <c r="K11" s="23">
        <f t="shared" si="8"/>
        <v>0</v>
      </c>
      <c r="L11" s="23">
        <f t="shared" ref="L11:L12" si="46">K11+0</f>
        <v>0</v>
      </c>
      <c r="M11" s="23">
        <f t="shared" ref="M11:M12" si="47">L11+0</f>
        <v>0</v>
      </c>
      <c r="N11" s="23">
        <f t="shared" ref="N11:N12" si="48">M11+0</f>
        <v>0</v>
      </c>
      <c r="O11" s="23">
        <f t="shared" si="9"/>
        <v>0</v>
      </c>
      <c r="P11" s="23">
        <f t="shared" ref="P11:P12" si="49">O11+0</f>
        <v>0</v>
      </c>
      <c r="Q11" s="23">
        <f t="shared" ref="Q11:Q12" si="50">P11+0</f>
        <v>0</v>
      </c>
      <c r="R11" s="23">
        <f t="shared" ref="R11:R12" si="51">Q11+0</f>
        <v>0</v>
      </c>
      <c r="S11" s="23">
        <f t="shared" si="38"/>
        <v>2</v>
      </c>
      <c r="T11" s="23">
        <f t="shared" si="39"/>
        <v>2</v>
      </c>
      <c r="U11" s="23">
        <f t="shared" si="10"/>
        <v>2</v>
      </c>
      <c r="V11" s="23">
        <f t="shared" si="40"/>
        <v>2</v>
      </c>
      <c r="W11" s="23">
        <f t="shared" si="11"/>
        <v>2</v>
      </c>
      <c r="X11" s="23">
        <f t="shared" si="33"/>
        <v>22</v>
      </c>
      <c r="Y11" s="23">
        <f t="shared" si="12"/>
        <v>22</v>
      </c>
      <c r="Z11" s="23">
        <f t="shared" ref="Z11:Z12" si="52">Y11+0</f>
        <v>22</v>
      </c>
      <c r="AA11" s="23">
        <f t="shared" ref="AA11:AA12" si="53">Z11+0</f>
        <v>22</v>
      </c>
      <c r="AB11" s="23">
        <f t="shared" ref="AB11:AB12" si="54">AA11+0</f>
        <v>22</v>
      </c>
      <c r="AC11" s="23">
        <f t="shared" ref="AC11:AC12" si="55">AB11+0</f>
        <v>22</v>
      </c>
      <c r="AD11" s="23">
        <f t="shared" ref="AD11:AD12" si="56">AC11+0</f>
        <v>22</v>
      </c>
      <c r="AE11" s="23">
        <f>AD11+16</f>
        <v>38</v>
      </c>
      <c r="AF11" s="23">
        <f t="shared" ref="AF11:AF12" si="57">AE11+0</f>
        <v>38</v>
      </c>
      <c r="AG11" s="23">
        <f t="shared" ref="AG11:AG12" si="58">AF11+0</f>
        <v>38</v>
      </c>
      <c r="AH11" s="23">
        <f t="shared" ref="AH11:AH12" si="59">AG11+0</f>
        <v>38</v>
      </c>
      <c r="AI11" s="23">
        <f t="shared" ref="AI11:AI12" si="60">AH11+0</f>
        <v>38</v>
      </c>
      <c r="AJ11" s="23">
        <f t="shared" ref="AJ11:AJ12" si="61">AI11+0</f>
        <v>38</v>
      </c>
      <c r="AK11" s="15">
        <v>180</v>
      </c>
      <c r="AL11" s="4">
        <v>1</v>
      </c>
      <c r="AM11" s="15" t="s">
        <v>170</v>
      </c>
      <c r="AN11" s="15" t="s">
        <v>166</v>
      </c>
      <c r="AO11" s="15">
        <v>1966</v>
      </c>
      <c r="AP11" s="15" t="s">
        <v>208</v>
      </c>
      <c r="AQ11" s="15" t="s">
        <v>192</v>
      </c>
    </row>
    <row r="12" spans="1:43" x14ac:dyDescent="0.3">
      <c r="A12" s="22">
        <v>11</v>
      </c>
      <c r="B12" s="23">
        <v>0</v>
      </c>
      <c r="C12" s="23">
        <f t="shared" si="43"/>
        <v>0</v>
      </c>
      <c r="D12" s="23">
        <f t="shared" si="44"/>
        <v>0</v>
      </c>
      <c r="E12" s="23">
        <f t="shared" si="45"/>
        <v>0</v>
      </c>
      <c r="F12" s="23">
        <f t="shared" si="35"/>
        <v>0</v>
      </c>
      <c r="G12" s="23">
        <f t="shared" si="7"/>
        <v>0</v>
      </c>
      <c r="H12" s="23">
        <f t="shared" si="4"/>
        <v>0</v>
      </c>
      <c r="I12" s="23">
        <f>H12+0</f>
        <v>0</v>
      </c>
      <c r="J12" s="23">
        <f t="shared" si="5"/>
        <v>0</v>
      </c>
      <c r="K12" s="23">
        <f t="shared" si="8"/>
        <v>0</v>
      </c>
      <c r="L12" s="23">
        <f t="shared" si="46"/>
        <v>0</v>
      </c>
      <c r="M12" s="23">
        <f t="shared" si="47"/>
        <v>0</v>
      </c>
      <c r="N12" s="23">
        <f t="shared" si="48"/>
        <v>0</v>
      </c>
      <c r="O12" s="23">
        <f t="shared" si="9"/>
        <v>0</v>
      </c>
      <c r="P12" s="23">
        <f t="shared" si="49"/>
        <v>0</v>
      </c>
      <c r="Q12" s="23">
        <f t="shared" si="50"/>
        <v>0</v>
      </c>
      <c r="R12" s="23">
        <f t="shared" si="51"/>
        <v>0</v>
      </c>
      <c r="S12" s="23">
        <f t="shared" si="38"/>
        <v>2</v>
      </c>
      <c r="T12" s="23">
        <f t="shared" si="39"/>
        <v>2</v>
      </c>
      <c r="U12" s="23">
        <f t="shared" si="10"/>
        <v>2</v>
      </c>
      <c r="V12" s="23">
        <f t="shared" si="40"/>
        <v>2</v>
      </c>
      <c r="W12" s="23">
        <f t="shared" si="11"/>
        <v>2</v>
      </c>
      <c r="X12" s="23">
        <f t="shared" si="33"/>
        <v>22</v>
      </c>
      <c r="Y12" s="23">
        <f t="shared" si="12"/>
        <v>22</v>
      </c>
      <c r="Z12" s="23">
        <f t="shared" si="52"/>
        <v>22</v>
      </c>
      <c r="AA12" s="23">
        <f t="shared" si="53"/>
        <v>22</v>
      </c>
      <c r="AB12" s="23">
        <f t="shared" si="54"/>
        <v>22</v>
      </c>
      <c r="AC12" s="23">
        <f t="shared" si="55"/>
        <v>22</v>
      </c>
      <c r="AD12" s="23">
        <f t="shared" si="56"/>
        <v>22</v>
      </c>
      <c r="AE12" s="23">
        <f>AD12+16</f>
        <v>38</v>
      </c>
      <c r="AF12" s="23">
        <f t="shared" si="57"/>
        <v>38</v>
      </c>
      <c r="AG12" s="23">
        <f t="shared" si="58"/>
        <v>38</v>
      </c>
      <c r="AH12" s="23">
        <f t="shared" si="59"/>
        <v>38</v>
      </c>
      <c r="AI12" s="23">
        <f t="shared" si="60"/>
        <v>38</v>
      </c>
      <c r="AJ12" s="23">
        <f t="shared" si="61"/>
        <v>38</v>
      </c>
      <c r="AK12" s="15">
        <v>180</v>
      </c>
      <c r="AL12" s="4">
        <v>1</v>
      </c>
      <c r="AM12" s="15" t="s">
        <v>169</v>
      </c>
      <c r="AN12" s="15" t="s">
        <v>166</v>
      </c>
      <c r="AO12" s="15">
        <v>1966</v>
      </c>
      <c r="AP12" s="15" t="s">
        <v>208</v>
      </c>
      <c r="AQ12" s="15" t="s">
        <v>192</v>
      </c>
    </row>
    <row r="13" spans="1:43" x14ac:dyDescent="0.3">
      <c r="A13" s="22">
        <v>9</v>
      </c>
      <c r="B13" s="23">
        <v>0</v>
      </c>
      <c r="C13" s="23">
        <f t="shared" si="2"/>
        <v>0</v>
      </c>
      <c r="D13" s="23">
        <f t="shared" si="2"/>
        <v>0</v>
      </c>
      <c r="E13" s="23">
        <f t="shared" si="2"/>
        <v>0</v>
      </c>
      <c r="F13" s="23">
        <f t="shared" si="35"/>
        <v>0</v>
      </c>
      <c r="G13" s="23">
        <f t="shared" si="7"/>
        <v>0</v>
      </c>
      <c r="H13" s="23">
        <f t="shared" si="4"/>
        <v>0</v>
      </c>
      <c r="I13" s="23">
        <f>H13+0</f>
        <v>0</v>
      </c>
      <c r="J13" s="23">
        <f t="shared" si="5"/>
        <v>0</v>
      </c>
      <c r="K13" s="23">
        <f t="shared" si="8"/>
        <v>0</v>
      </c>
      <c r="L13" s="23">
        <f t="shared" si="36"/>
        <v>0</v>
      </c>
      <c r="M13" s="23">
        <f t="shared" si="36"/>
        <v>0</v>
      </c>
      <c r="N13" s="23">
        <f t="shared" si="36"/>
        <v>0</v>
      </c>
      <c r="O13" s="23">
        <f t="shared" si="9"/>
        <v>0</v>
      </c>
      <c r="P13" s="23">
        <f t="shared" si="37"/>
        <v>0</v>
      </c>
      <c r="Q13" s="23">
        <f t="shared" si="37"/>
        <v>0</v>
      </c>
      <c r="R13" s="23">
        <f t="shared" si="37"/>
        <v>0</v>
      </c>
      <c r="S13" s="23">
        <f t="shared" si="38"/>
        <v>2</v>
      </c>
      <c r="T13" s="23">
        <f t="shared" si="39"/>
        <v>2</v>
      </c>
      <c r="U13" s="23">
        <f t="shared" si="10"/>
        <v>2</v>
      </c>
      <c r="V13" s="23">
        <f t="shared" si="40"/>
        <v>2</v>
      </c>
      <c r="W13" s="23">
        <f t="shared" si="11"/>
        <v>2</v>
      </c>
      <c r="X13" s="23">
        <f t="shared" si="33"/>
        <v>22</v>
      </c>
      <c r="Y13" s="23">
        <f t="shared" si="12"/>
        <v>22</v>
      </c>
      <c r="Z13" s="23">
        <f t="shared" si="41"/>
        <v>22</v>
      </c>
      <c r="AA13" s="23">
        <f t="shared" si="41"/>
        <v>22</v>
      </c>
      <c r="AB13" s="23">
        <f t="shared" si="41"/>
        <v>22</v>
      </c>
      <c r="AC13" s="23">
        <f t="shared" si="41"/>
        <v>22</v>
      </c>
      <c r="AD13" s="23">
        <f t="shared" si="41"/>
        <v>22</v>
      </c>
      <c r="AE13" s="23">
        <f>AD13+16</f>
        <v>38</v>
      </c>
      <c r="AF13" s="23">
        <f t="shared" si="42"/>
        <v>38</v>
      </c>
      <c r="AG13" s="23">
        <f t="shared" si="42"/>
        <v>38</v>
      </c>
      <c r="AH13" s="23">
        <f t="shared" si="42"/>
        <v>38</v>
      </c>
      <c r="AI13" s="23">
        <f t="shared" si="42"/>
        <v>38</v>
      </c>
      <c r="AJ13" s="23">
        <f t="shared" si="42"/>
        <v>38</v>
      </c>
      <c r="AK13" s="15">
        <v>180</v>
      </c>
      <c r="AL13" s="4">
        <v>1</v>
      </c>
      <c r="AM13" s="15" t="s">
        <v>168</v>
      </c>
      <c r="AN13" s="15" t="s">
        <v>166</v>
      </c>
      <c r="AO13" s="15">
        <v>1966</v>
      </c>
      <c r="AP13" s="15" t="s">
        <v>208</v>
      </c>
      <c r="AQ13" s="15" t="s">
        <v>192</v>
      </c>
    </row>
    <row r="14" spans="1:43" x14ac:dyDescent="0.3">
      <c r="A14" s="22">
        <v>9</v>
      </c>
      <c r="B14" s="23">
        <v>0</v>
      </c>
      <c r="C14" s="23">
        <f t="shared" ref="C14:C21" si="62">B14+0</f>
        <v>0</v>
      </c>
      <c r="D14" s="23">
        <f t="shared" ref="D14:D21" si="63">C14+0</f>
        <v>0</v>
      </c>
      <c r="E14" s="23">
        <f t="shared" ref="E14:E21" si="64">D14+0</f>
        <v>0</v>
      </c>
      <c r="F14" s="23">
        <f t="shared" si="35"/>
        <v>0</v>
      </c>
      <c r="G14" s="23">
        <f t="shared" si="7"/>
        <v>0</v>
      </c>
      <c r="H14" s="23">
        <f t="shared" si="4"/>
        <v>0</v>
      </c>
      <c r="I14" s="23">
        <f>H14+0</f>
        <v>0</v>
      </c>
      <c r="J14" s="23">
        <f t="shared" si="5"/>
        <v>0</v>
      </c>
      <c r="K14" s="23">
        <f t="shared" si="8"/>
        <v>0</v>
      </c>
      <c r="L14" s="23">
        <f t="shared" ref="L14:L21" si="65">K14+0</f>
        <v>0</v>
      </c>
      <c r="M14" s="23">
        <f t="shared" ref="M14:M21" si="66">L14+0</f>
        <v>0</v>
      </c>
      <c r="N14" s="23">
        <f t="shared" ref="N14:N21" si="67">M14+0</f>
        <v>0</v>
      </c>
      <c r="O14" s="23">
        <f t="shared" si="9"/>
        <v>0</v>
      </c>
      <c r="P14" s="23">
        <f t="shared" ref="P14:P21" si="68">O14+0</f>
        <v>0</v>
      </c>
      <c r="Q14" s="23">
        <f t="shared" ref="Q14:Q21" si="69">P14+0</f>
        <v>0</v>
      </c>
      <c r="R14" s="23">
        <f t="shared" ref="R14:R21" si="70">Q14+0</f>
        <v>0</v>
      </c>
      <c r="S14" s="23">
        <f t="shared" si="38"/>
        <v>2</v>
      </c>
      <c r="T14" s="23">
        <f t="shared" si="39"/>
        <v>2</v>
      </c>
      <c r="U14" s="23">
        <f t="shared" si="10"/>
        <v>2</v>
      </c>
      <c r="V14" s="23">
        <f t="shared" si="40"/>
        <v>2</v>
      </c>
      <c r="W14" s="23">
        <f t="shared" si="11"/>
        <v>2</v>
      </c>
      <c r="X14" s="23">
        <f t="shared" si="33"/>
        <v>22</v>
      </c>
      <c r="Y14" s="23">
        <f t="shared" si="12"/>
        <v>22</v>
      </c>
      <c r="Z14" s="23">
        <f t="shared" ref="Z14:Z21" si="71">Y14+0</f>
        <v>22</v>
      </c>
      <c r="AA14" s="23">
        <f t="shared" ref="AA14:AA21" si="72">Z14+0</f>
        <v>22</v>
      </c>
      <c r="AB14" s="23">
        <f t="shared" ref="AB14:AB21" si="73">AA14+0</f>
        <v>22</v>
      </c>
      <c r="AC14" s="23">
        <f t="shared" ref="AC14:AC21" si="74">AB14+0</f>
        <v>22</v>
      </c>
      <c r="AD14" s="23">
        <f t="shared" ref="AD14:AD21" si="75">AC14+0</f>
        <v>22</v>
      </c>
      <c r="AE14" s="23">
        <f>AD14+16</f>
        <v>38</v>
      </c>
      <c r="AF14" s="23">
        <f t="shared" ref="AF14:AF21" si="76">AE14+0</f>
        <v>38</v>
      </c>
      <c r="AG14" s="23">
        <f t="shared" ref="AG14:AG21" si="77">AF14+0</f>
        <v>38</v>
      </c>
      <c r="AH14" s="23">
        <f t="shared" ref="AH14:AH21" si="78">AG14+0</f>
        <v>38</v>
      </c>
      <c r="AI14" s="23">
        <f t="shared" ref="AI14:AI21" si="79">AH14+0</f>
        <v>38</v>
      </c>
      <c r="AJ14" s="23">
        <f t="shared" ref="AJ14:AJ21" si="80">AI14+0</f>
        <v>38</v>
      </c>
      <c r="AK14" s="15">
        <v>180</v>
      </c>
      <c r="AL14" s="4">
        <v>1</v>
      </c>
      <c r="AM14" s="15" t="s">
        <v>167</v>
      </c>
      <c r="AN14" s="15" t="s">
        <v>166</v>
      </c>
      <c r="AO14" s="15">
        <v>1966</v>
      </c>
      <c r="AP14" s="15" t="s">
        <v>208</v>
      </c>
      <c r="AQ14" s="15" t="s">
        <v>192</v>
      </c>
    </row>
    <row r="15" spans="1:43" x14ac:dyDescent="0.3">
      <c r="A15" s="1">
        <f>3*23/28</f>
        <v>2.4642857142857144</v>
      </c>
      <c r="B15" s="23">
        <v>0</v>
      </c>
      <c r="C15" s="23">
        <f t="shared" si="62"/>
        <v>0</v>
      </c>
      <c r="D15" s="23">
        <f t="shared" si="63"/>
        <v>0</v>
      </c>
      <c r="E15" s="23">
        <f t="shared" si="64"/>
        <v>0</v>
      </c>
      <c r="F15" s="23">
        <f t="shared" si="35"/>
        <v>0</v>
      </c>
      <c r="G15" s="23">
        <f t="shared" si="7"/>
        <v>0</v>
      </c>
      <c r="H15" s="23">
        <f t="shared" si="4"/>
        <v>0</v>
      </c>
      <c r="I15" s="23">
        <f>H15+2</f>
        <v>2</v>
      </c>
      <c r="J15" s="23">
        <f t="shared" si="5"/>
        <v>2</v>
      </c>
      <c r="K15" s="23">
        <f t="shared" si="8"/>
        <v>2</v>
      </c>
      <c r="L15" s="23">
        <f t="shared" si="65"/>
        <v>2</v>
      </c>
      <c r="M15" s="23">
        <f t="shared" si="66"/>
        <v>2</v>
      </c>
      <c r="N15" s="23">
        <f t="shared" si="67"/>
        <v>2</v>
      </c>
      <c r="O15" s="23">
        <f t="shared" si="9"/>
        <v>2</v>
      </c>
      <c r="P15" s="23">
        <f t="shared" si="68"/>
        <v>2</v>
      </c>
      <c r="Q15" s="23">
        <f t="shared" si="69"/>
        <v>2</v>
      </c>
      <c r="R15" s="23">
        <f t="shared" si="70"/>
        <v>2</v>
      </c>
      <c r="S15" s="23">
        <f>R15+8</f>
        <v>10</v>
      </c>
      <c r="T15" s="23">
        <f t="shared" si="39"/>
        <v>10</v>
      </c>
      <c r="U15" s="23">
        <f t="shared" si="10"/>
        <v>10</v>
      </c>
      <c r="V15" s="23">
        <f t="shared" si="40"/>
        <v>10</v>
      </c>
      <c r="W15" s="23">
        <f t="shared" si="11"/>
        <v>10</v>
      </c>
      <c r="X15" s="23">
        <f>W15+11</f>
        <v>21</v>
      </c>
      <c r="Y15" s="23">
        <f t="shared" si="12"/>
        <v>21</v>
      </c>
      <c r="Z15" s="23">
        <f t="shared" si="71"/>
        <v>21</v>
      </c>
      <c r="AA15" s="23">
        <f t="shared" si="72"/>
        <v>21</v>
      </c>
      <c r="AB15" s="23">
        <f t="shared" si="73"/>
        <v>21</v>
      </c>
      <c r="AC15" s="23">
        <f t="shared" si="74"/>
        <v>21</v>
      </c>
      <c r="AD15" s="23">
        <f t="shared" si="75"/>
        <v>21</v>
      </c>
      <c r="AE15" s="23">
        <f>AD15+2</f>
        <v>23</v>
      </c>
      <c r="AF15" s="23">
        <f t="shared" si="76"/>
        <v>23</v>
      </c>
      <c r="AG15" s="23">
        <f t="shared" si="77"/>
        <v>23</v>
      </c>
      <c r="AH15" s="23">
        <f t="shared" si="78"/>
        <v>23</v>
      </c>
      <c r="AI15" s="23">
        <f t="shared" si="79"/>
        <v>23</v>
      </c>
      <c r="AJ15" s="23">
        <f t="shared" si="80"/>
        <v>23</v>
      </c>
      <c r="AK15" s="15">
        <v>480</v>
      </c>
      <c r="AL15" s="4">
        <v>1</v>
      </c>
      <c r="AM15" s="15" t="s">
        <v>296</v>
      </c>
      <c r="AN15" s="15" t="s">
        <v>166</v>
      </c>
      <c r="AO15" s="15">
        <v>1966</v>
      </c>
      <c r="AP15" s="15" t="s">
        <v>208</v>
      </c>
    </row>
    <row r="16" spans="1:43" x14ac:dyDescent="0.3">
      <c r="A16" s="1">
        <f>4*23/28</f>
        <v>3.2857142857142856</v>
      </c>
      <c r="B16" s="23">
        <v>0</v>
      </c>
      <c r="C16" s="23">
        <f t="shared" si="62"/>
        <v>0</v>
      </c>
      <c r="D16" s="23">
        <f t="shared" si="63"/>
        <v>0</v>
      </c>
      <c r="E16" s="23">
        <f t="shared" si="64"/>
        <v>0</v>
      </c>
      <c r="F16" s="23">
        <f t="shared" si="35"/>
        <v>0</v>
      </c>
      <c r="G16" s="23">
        <f t="shared" si="7"/>
        <v>0</v>
      </c>
      <c r="H16" s="23">
        <f t="shared" si="4"/>
        <v>0</v>
      </c>
      <c r="I16" s="23">
        <f>H16+2</f>
        <v>2</v>
      </c>
      <c r="J16" s="23">
        <f t="shared" si="5"/>
        <v>2</v>
      </c>
      <c r="K16" s="23">
        <f t="shared" si="8"/>
        <v>2</v>
      </c>
      <c r="L16" s="23">
        <f t="shared" si="65"/>
        <v>2</v>
      </c>
      <c r="M16" s="23">
        <f t="shared" si="66"/>
        <v>2</v>
      </c>
      <c r="N16" s="23">
        <f t="shared" si="67"/>
        <v>2</v>
      </c>
      <c r="O16" s="23">
        <f t="shared" si="9"/>
        <v>2</v>
      </c>
      <c r="P16" s="23">
        <f t="shared" si="68"/>
        <v>2</v>
      </c>
      <c r="Q16" s="23">
        <f t="shared" si="69"/>
        <v>2</v>
      </c>
      <c r="R16" s="23">
        <f t="shared" si="70"/>
        <v>2</v>
      </c>
      <c r="S16" s="23">
        <f>R16+8</f>
        <v>10</v>
      </c>
      <c r="T16" s="23">
        <f t="shared" si="39"/>
        <v>10</v>
      </c>
      <c r="U16" s="23">
        <f t="shared" si="10"/>
        <v>10</v>
      </c>
      <c r="V16" s="23">
        <f t="shared" si="40"/>
        <v>10</v>
      </c>
      <c r="W16" s="23">
        <f t="shared" si="11"/>
        <v>10</v>
      </c>
      <c r="X16" s="23">
        <f>W16+11</f>
        <v>21</v>
      </c>
      <c r="Y16" s="23">
        <f t="shared" si="12"/>
        <v>21</v>
      </c>
      <c r="Z16" s="23">
        <f t="shared" si="71"/>
        <v>21</v>
      </c>
      <c r="AA16" s="23">
        <f t="shared" si="72"/>
        <v>21</v>
      </c>
      <c r="AB16" s="23">
        <f t="shared" si="73"/>
        <v>21</v>
      </c>
      <c r="AC16" s="23">
        <f t="shared" si="74"/>
        <v>21</v>
      </c>
      <c r="AD16" s="23">
        <f t="shared" si="75"/>
        <v>21</v>
      </c>
      <c r="AE16" s="23">
        <f>AD16+2</f>
        <v>23</v>
      </c>
      <c r="AF16" s="23">
        <f t="shared" si="76"/>
        <v>23</v>
      </c>
      <c r="AG16" s="23">
        <f t="shared" si="77"/>
        <v>23</v>
      </c>
      <c r="AH16" s="23">
        <f t="shared" si="78"/>
        <v>23</v>
      </c>
      <c r="AI16" s="23">
        <f t="shared" si="79"/>
        <v>23</v>
      </c>
      <c r="AJ16" s="23">
        <f t="shared" si="80"/>
        <v>23</v>
      </c>
      <c r="AK16" s="15">
        <v>480</v>
      </c>
      <c r="AL16" s="4">
        <v>1</v>
      </c>
      <c r="AM16" s="15" t="s">
        <v>295</v>
      </c>
      <c r="AN16" s="15" t="s">
        <v>166</v>
      </c>
      <c r="AO16" s="15">
        <v>1966</v>
      </c>
      <c r="AP16" s="15" t="s">
        <v>208</v>
      </c>
    </row>
    <row r="17" spans="1:42" x14ac:dyDescent="0.3">
      <c r="A17" s="1">
        <f>4*23/28</f>
        <v>3.2857142857142856</v>
      </c>
      <c r="B17" s="23">
        <v>0</v>
      </c>
      <c r="C17" s="23">
        <f t="shared" si="62"/>
        <v>0</v>
      </c>
      <c r="D17" s="23">
        <f t="shared" si="63"/>
        <v>0</v>
      </c>
      <c r="E17" s="23">
        <f t="shared" si="64"/>
        <v>0</v>
      </c>
      <c r="F17" s="23">
        <f t="shared" si="35"/>
        <v>0</v>
      </c>
      <c r="G17" s="23">
        <f t="shared" si="7"/>
        <v>0</v>
      </c>
      <c r="H17" s="23">
        <f t="shared" si="4"/>
        <v>0</v>
      </c>
      <c r="I17" s="23">
        <f>H17+2</f>
        <v>2</v>
      </c>
      <c r="J17" s="23">
        <f t="shared" si="5"/>
        <v>2</v>
      </c>
      <c r="K17" s="23">
        <f t="shared" si="8"/>
        <v>2</v>
      </c>
      <c r="L17" s="23">
        <f t="shared" si="65"/>
        <v>2</v>
      </c>
      <c r="M17" s="23">
        <f t="shared" si="66"/>
        <v>2</v>
      </c>
      <c r="N17" s="23">
        <f t="shared" si="67"/>
        <v>2</v>
      </c>
      <c r="O17" s="23">
        <f t="shared" si="9"/>
        <v>2</v>
      </c>
      <c r="P17" s="23">
        <f t="shared" si="68"/>
        <v>2</v>
      </c>
      <c r="Q17" s="23">
        <f t="shared" si="69"/>
        <v>2</v>
      </c>
      <c r="R17" s="23">
        <f t="shared" si="70"/>
        <v>2</v>
      </c>
      <c r="S17" s="23">
        <f>R17+8</f>
        <v>10</v>
      </c>
      <c r="T17" s="23">
        <f t="shared" si="39"/>
        <v>10</v>
      </c>
      <c r="U17" s="23">
        <f t="shared" si="10"/>
        <v>10</v>
      </c>
      <c r="V17" s="23">
        <f t="shared" si="40"/>
        <v>10</v>
      </c>
      <c r="W17" s="23">
        <f t="shared" si="11"/>
        <v>10</v>
      </c>
      <c r="X17" s="23">
        <f>W17+11</f>
        <v>21</v>
      </c>
      <c r="Y17" s="23">
        <f t="shared" si="12"/>
        <v>21</v>
      </c>
      <c r="Z17" s="23">
        <f t="shared" si="71"/>
        <v>21</v>
      </c>
      <c r="AA17" s="23">
        <f t="shared" si="72"/>
        <v>21</v>
      </c>
      <c r="AB17" s="23">
        <f t="shared" si="73"/>
        <v>21</v>
      </c>
      <c r="AC17" s="23">
        <f t="shared" si="74"/>
        <v>21</v>
      </c>
      <c r="AD17" s="23">
        <f t="shared" si="75"/>
        <v>21</v>
      </c>
      <c r="AE17" s="23">
        <f>AD17+2</f>
        <v>23</v>
      </c>
      <c r="AF17" s="23">
        <f t="shared" si="76"/>
        <v>23</v>
      </c>
      <c r="AG17" s="23">
        <f t="shared" si="77"/>
        <v>23</v>
      </c>
      <c r="AH17" s="23">
        <f t="shared" si="78"/>
        <v>23</v>
      </c>
      <c r="AI17" s="23">
        <f t="shared" si="79"/>
        <v>23</v>
      </c>
      <c r="AJ17" s="23">
        <f t="shared" si="80"/>
        <v>23</v>
      </c>
      <c r="AK17" s="15">
        <v>480</v>
      </c>
      <c r="AL17" s="4">
        <v>1</v>
      </c>
      <c r="AM17" s="15" t="s">
        <v>297</v>
      </c>
      <c r="AN17" s="15" t="s">
        <v>166</v>
      </c>
      <c r="AO17" s="15">
        <v>1966</v>
      </c>
      <c r="AP17" s="15" t="s">
        <v>208</v>
      </c>
    </row>
    <row r="18" spans="1:42" x14ac:dyDescent="0.3">
      <c r="A18" s="1">
        <f>9*23/28</f>
        <v>7.3928571428571432</v>
      </c>
      <c r="B18" s="23">
        <v>0</v>
      </c>
      <c r="C18" s="23">
        <f t="shared" si="62"/>
        <v>0</v>
      </c>
      <c r="D18" s="23">
        <f t="shared" si="63"/>
        <v>0</v>
      </c>
      <c r="E18" s="23">
        <f t="shared" si="64"/>
        <v>0</v>
      </c>
      <c r="F18" s="23">
        <f t="shared" si="35"/>
        <v>0</v>
      </c>
      <c r="G18" s="23">
        <f t="shared" si="7"/>
        <v>0</v>
      </c>
      <c r="H18" s="23">
        <f t="shared" si="4"/>
        <v>0</v>
      </c>
      <c r="I18" s="23">
        <f>H18+2</f>
        <v>2</v>
      </c>
      <c r="J18" s="23">
        <f t="shared" si="5"/>
        <v>2</v>
      </c>
      <c r="K18" s="23">
        <f t="shared" si="8"/>
        <v>2</v>
      </c>
      <c r="L18" s="23">
        <f t="shared" si="65"/>
        <v>2</v>
      </c>
      <c r="M18" s="23">
        <f t="shared" si="66"/>
        <v>2</v>
      </c>
      <c r="N18" s="23">
        <f t="shared" si="67"/>
        <v>2</v>
      </c>
      <c r="O18" s="23">
        <f t="shared" si="9"/>
        <v>2</v>
      </c>
      <c r="P18" s="23">
        <f t="shared" si="68"/>
        <v>2</v>
      </c>
      <c r="Q18" s="23">
        <f t="shared" si="69"/>
        <v>2</v>
      </c>
      <c r="R18" s="23">
        <f t="shared" si="70"/>
        <v>2</v>
      </c>
      <c r="S18" s="23">
        <f>R18+8</f>
        <v>10</v>
      </c>
      <c r="T18" s="23">
        <f t="shared" si="39"/>
        <v>10</v>
      </c>
      <c r="U18" s="23">
        <f t="shared" si="10"/>
        <v>10</v>
      </c>
      <c r="V18" s="23">
        <f t="shared" si="40"/>
        <v>10</v>
      </c>
      <c r="W18" s="23">
        <f t="shared" si="11"/>
        <v>10</v>
      </c>
      <c r="X18" s="23">
        <f>W18+11</f>
        <v>21</v>
      </c>
      <c r="Y18" s="23">
        <f t="shared" si="12"/>
        <v>21</v>
      </c>
      <c r="Z18" s="23">
        <f t="shared" si="71"/>
        <v>21</v>
      </c>
      <c r="AA18" s="23">
        <f t="shared" si="72"/>
        <v>21</v>
      </c>
      <c r="AB18" s="23">
        <f t="shared" si="73"/>
        <v>21</v>
      </c>
      <c r="AC18" s="23">
        <f t="shared" si="74"/>
        <v>21</v>
      </c>
      <c r="AD18" s="23">
        <f t="shared" si="75"/>
        <v>21</v>
      </c>
      <c r="AE18" s="23">
        <f>AD18+2</f>
        <v>23</v>
      </c>
      <c r="AF18" s="23">
        <f t="shared" si="76"/>
        <v>23</v>
      </c>
      <c r="AG18" s="23">
        <f t="shared" si="77"/>
        <v>23</v>
      </c>
      <c r="AH18" s="23">
        <f t="shared" si="78"/>
        <v>23</v>
      </c>
      <c r="AI18" s="23">
        <f t="shared" si="79"/>
        <v>23</v>
      </c>
      <c r="AJ18" s="23">
        <f t="shared" si="80"/>
        <v>23</v>
      </c>
      <c r="AK18" s="15">
        <v>480</v>
      </c>
      <c r="AL18" s="4">
        <v>1</v>
      </c>
      <c r="AM18" s="15" t="s">
        <v>298</v>
      </c>
      <c r="AN18" s="15" t="s">
        <v>166</v>
      </c>
      <c r="AO18" s="15">
        <v>1966</v>
      </c>
      <c r="AP18" s="15" t="s">
        <v>208</v>
      </c>
    </row>
    <row r="19" spans="1:42" x14ac:dyDescent="0.3">
      <c r="A19" s="1">
        <f>8*23/28</f>
        <v>6.5714285714285712</v>
      </c>
      <c r="B19" s="23">
        <v>0</v>
      </c>
      <c r="C19" s="23">
        <f t="shared" si="62"/>
        <v>0</v>
      </c>
      <c r="D19" s="23">
        <f t="shared" si="63"/>
        <v>0</v>
      </c>
      <c r="E19" s="23">
        <f t="shared" si="64"/>
        <v>0</v>
      </c>
      <c r="F19" s="23">
        <f t="shared" si="35"/>
        <v>0</v>
      </c>
      <c r="G19" s="23">
        <f t="shared" si="7"/>
        <v>0</v>
      </c>
      <c r="H19" s="23">
        <f t="shared" si="4"/>
        <v>0</v>
      </c>
      <c r="I19" s="23">
        <f>H19+2</f>
        <v>2</v>
      </c>
      <c r="J19" s="23">
        <f t="shared" si="5"/>
        <v>2</v>
      </c>
      <c r="K19" s="23">
        <f t="shared" si="8"/>
        <v>2</v>
      </c>
      <c r="L19" s="23">
        <f t="shared" si="65"/>
        <v>2</v>
      </c>
      <c r="M19" s="23">
        <f t="shared" si="66"/>
        <v>2</v>
      </c>
      <c r="N19" s="23">
        <f t="shared" si="67"/>
        <v>2</v>
      </c>
      <c r="O19" s="23">
        <f t="shared" si="9"/>
        <v>2</v>
      </c>
      <c r="P19" s="23">
        <f t="shared" si="68"/>
        <v>2</v>
      </c>
      <c r="Q19" s="23">
        <f t="shared" si="69"/>
        <v>2</v>
      </c>
      <c r="R19" s="23">
        <f t="shared" si="70"/>
        <v>2</v>
      </c>
      <c r="S19" s="23">
        <f>R19+8</f>
        <v>10</v>
      </c>
      <c r="T19" s="23">
        <f t="shared" si="39"/>
        <v>10</v>
      </c>
      <c r="U19" s="23">
        <f t="shared" si="10"/>
        <v>10</v>
      </c>
      <c r="V19" s="23">
        <f t="shared" si="40"/>
        <v>10</v>
      </c>
      <c r="W19" s="23">
        <f t="shared" si="11"/>
        <v>10</v>
      </c>
      <c r="X19" s="23">
        <f>W19+11</f>
        <v>21</v>
      </c>
      <c r="Y19" s="23">
        <f t="shared" si="12"/>
        <v>21</v>
      </c>
      <c r="Z19" s="23">
        <f t="shared" si="71"/>
        <v>21</v>
      </c>
      <c r="AA19" s="23">
        <f t="shared" si="72"/>
        <v>21</v>
      </c>
      <c r="AB19" s="23">
        <f t="shared" si="73"/>
        <v>21</v>
      </c>
      <c r="AC19" s="23">
        <f t="shared" si="74"/>
        <v>21</v>
      </c>
      <c r="AD19" s="23">
        <f t="shared" si="75"/>
        <v>21</v>
      </c>
      <c r="AE19" s="23">
        <f>AD19+2</f>
        <v>23</v>
      </c>
      <c r="AF19" s="23">
        <f t="shared" si="76"/>
        <v>23</v>
      </c>
      <c r="AG19" s="23">
        <f t="shared" si="77"/>
        <v>23</v>
      </c>
      <c r="AH19" s="23">
        <f t="shared" si="78"/>
        <v>23</v>
      </c>
      <c r="AI19" s="23">
        <f t="shared" si="79"/>
        <v>23</v>
      </c>
      <c r="AJ19" s="23">
        <f t="shared" si="80"/>
        <v>23</v>
      </c>
      <c r="AK19" s="15">
        <v>480</v>
      </c>
      <c r="AL19" s="4">
        <v>1</v>
      </c>
      <c r="AM19" s="15" t="s">
        <v>299</v>
      </c>
      <c r="AN19" s="15" t="s">
        <v>166</v>
      </c>
      <c r="AO19" s="15">
        <v>1966</v>
      </c>
      <c r="AP19" s="15" t="s">
        <v>208</v>
      </c>
    </row>
    <row r="20" spans="1:42" x14ac:dyDescent="0.3">
      <c r="A20" s="22">
        <v>1</v>
      </c>
      <c r="B20" s="23">
        <v>0</v>
      </c>
      <c r="C20" s="23">
        <f t="shared" si="62"/>
        <v>0</v>
      </c>
      <c r="D20" s="23">
        <f t="shared" si="63"/>
        <v>0</v>
      </c>
      <c r="E20" s="23">
        <f t="shared" si="64"/>
        <v>0</v>
      </c>
      <c r="F20" s="23">
        <f t="shared" si="35"/>
        <v>0</v>
      </c>
      <c r="G20" s="23">
        <f t="shared" si="7"/>
        <v>0</v>
      </c>
      <c r="H20" s="23">
        <f t="shared" si="4"/>
        <v>0</v>
      </c>
      <c r="I20" s="23">
        <f>H20+12</f>
        <v>12</v>
      </c>
      <c r="J20" s="23">
        <f t="shared" si="5"/>
        <v>12</v>
      </c>
      <c r="K20" s="23">
        <f t="shared" si="8"/>
        <v>12</v>
      </c>
      <c r="L20" s="23">
        <f t="shared" si="65"/>
        <v>12</v>
      </c>
      <c r="M20" s="23">
        <f t="shared" si="66"/>
        <v>12</v>
      </c>
      <c r="N20" s="23">
        <f t="shared" si="67"/>
        <v>12</v>
      </c>
      <c r="O20" s="23">
        <f t="shared" si="9"/>
        <v>12</v>
      </c>
      <c r="P20" s="23">
        <f t="shared" si="68"/>
        <v>12</v>
      </c>
      <c r="Q20" s="23">
        <f t="shared" si="69"/>
        <v>12</v>
      </c>
      <c r="R20" s="23">
        <f t="shared" si="70"/>
        <v>12</v>
      </c>
      <c r="S20" s="23">
        <f t="shared" si="38"/>
        <v>14</v>
      </c>
      <c r="T20" s="23">
        <f t="shared" si="39"/>
        <v>14</v>
      </c>
      <c r="U20" s="23">
        <f t="shared" si="10"/>
        <v>14</v>
      </c>
      <c r="V20" s="23">
        <f t="shared" si="40"/>
        <v>14</v>
      </c>
      <c r="W20" s="23">
        <f t="shared" si="11"/>
        <v>14</v>
      </c>
      <c r="X20" s="23">
        <f>W20+0</f>
        <v>14</v>
      </c>
      <c r="Y20" s="23">
        <f t="shared" si="12"/>
        <v>14</v>
      </c>
      <c r="Z20" s="23">
        <f t="shared" si="71"/>
        <v>14</v>
      </c>
      <c r="AA20" s="23">
        <f t="shared" si="72"/>
        <v>14</v>
      </c>
      <c r="AB20" s="23">
        <f t="shared" si="73"/>
        <v>14</v>
      </c>
      <c r="AC20" s="23">
        <f t="shared" si="74"/>
        <v>14</v>
      </c>
      <c r="AD20" s="23">
        <f t="shared" si="75"/>
        <v>14</v>
      </c>
      <c r="AE20" s="23">
        <f>AD20+0</f>
        <v>14</v>
      </c>
      <c r="AF20" s="23">
        <f t="shared" si="76"/>
        <v>14</v>
      </c>
      <c r="AG20" s="23">
        <f t="shared" si="77"/>
        <v>14</v>
      </c>
      <c r="AH20" s="23">
        <f t="shared" si="78"/>
        <v>14</v>
      </c>
      <c r="AI20" s="23">
        <f t="shared" si="79"/>
        <v>14</v>
      </c>
      <c r="AJ20" s="23">
        <f t="shared" si="80"/>
        <v>14</v>
      </c>
      <c r="AK20" s="15">
        <v>480</v>
      </c>
      <c r="AL20" s="4">
        <v>1</v>
      </c>
      <c r="AM20" s="15" t="s">
        <v>287</v>
      </c>
      <c r="AN20" s="15" t="s">
        <v>166</v>
      </c>
      <c r="AO20" s="15">
        <v>1966</v>
      </c>
      <c r="AP20" s="15" t="s">
        <v>208</v>
      </c>
    </row>
    <row r="21" spans="1:42" x14ac:dyDescent="0.3">
      <c r="A21" s="22">
        <v>7</v>
      </c>
      <c r="B21" s="23">
        <v>0</v>
      </c>
      <c r="C21" s="23">
        <f t="shared" si="62"/>
        <v>0</v>
      </c>
      <c r="D21" s="23">
        <f t="shared" si="63"/>
        <v>0</v>
      </c>
      <c r="E21" s="23">
        <f t="shared" si="64"/>
        <v>0</v>
      </c>
      <c r="F21" s="23">
        <f t="shared" si="35"/>
        <v>0</v>
      </c>
      <c r="G21" s="23">
        <f t="shared" si="7"/>
        <v>0</v>
      </c>
      <c r="H21" s="23">
        <f t="shared" si="4"/>
        <v>0</v>
      </c>
      <c r="I21" s="23">
        <f>H21+12</f>
        <v>12</v>
      </c>
      <c r="J21" s="23">
        <f t="shared" si="5"/>
        <v>12</v>
      </c>
      <c r="K21" s="23">
        <f t="shared" si="8"/>
        <v>12</v>
      </c>
      <c r="L21" s="23">
        <f t="shared" si="65"/>
        <v>12</v>
      </c>
      <c r="M21" s="23">
        <f t="shared" si="66"/>
        <v>12</v>
      </c>
      <c r="N21" s="23">
        <f t="shared" si="67"/>
        <v>12</v>
      </c>
      <c r="O21" s="23">
        <f t="shared" si="9"/>
        <v>12</v>
      </c>
      <c r="P21" s="23">
        <f t="shared" si="68"/>
        <v>12</v>
      </c>
      <c r="Q21" s="23">
        <f t="shared" si="69"/>
        <v>12</v>
      </c>
      <c r="R21" s="23">
        <f t="shared" si="70"/>
        <v>12</v>
      </c>
      <c r="S21" s="23">
        <f t="shared" si="38"/>
        <v>14</v>
      </c>
      <c r="T21" s="23">
        <f t="shared" si="39"/>
        <v>14</v>
      </c>
      <c r="U21" s="23">
        <f t="shared" si="10"/>
        <v>14</v>
      </c>
      <c r="V21" s="23">
        <f t="shared" si="40"/>
        <v>14</v>
      </c>
      <c r="W21" s="23">
        <f t="shared" si="11"/>
        <v>14</v>
      </c>
      <c r="X21" s="23">
        <f>W21+0</f>
        <v>14</v>
      </c>
      <c r="Y21" s="23">
        <f t="shared" si="12"/>
        <v>14</v>
      </c>
      <c r="Z21" s="23">
        <f t="shared" si="71"/>
        <v>14</v>
      </c>
      <c r="AA21" s="23">
        <f t="shared" si="72"/>
        <v>14</v>
      </c>
      <c r="AB21" s="23">
        <f t="shared" si="73"/>
        <v>14</v>
      </c>
      <c r="AC21" s="23">
        <f t="shared" si="74"/>
        <v>14</v>
      </c>
      <c r="AD21" s="23">
        <f t="shared" si="75"/>
        <v>14</v>
      </c>
      <c r="AE21" s="23">
        <f>AD21+0</f>
        <v>14</v>
      </c>
      <c r="AF21" s="23">
        <f t="shared" si="76"/>
        <v>14</v>
      </c>
      <c r="AG21" s="23">
        <f t="shared" si="77"/>
        <v>14</v>
      </c>
      <c r="AH21" s="23">
        <f t="shared" si="78"/>
        <v>14</v>
      </c>
      <c r="AI21" s="23">
        <f t="shared" si="79"/>
        <v>14</v>
      </c>
      <c r="AJ21" s="23">
        <f t="shared" si="80"/>
        <v>14</v>
      </c>
      <c r="AK21" s="15">
        <v>480</v>
      </c>
      <c r="AL21" s="4">
        <v>1</v>
      </c>
      <c r="AM21" s="15" t="s">
        <v>288</v>
      </c>
      <c r="AN21" s="15" t="s">
        <v>166</v>
      </c>
      <c r="AO21" s="15">
        <v>1966</v>
      </c>
      <c r="AP21" s="15" t="s">
        <v>208</v>
      </c>
    </row>
    <row r="22" spans="1:42" x14ac:dyDescent="0.3">
      <c r="A22" s="22">
        <v>8</v>
      </c>
      <c r="B22" s="23">
        <v>0</v>
      </c>
      <c r="C22" s="23">
        <f t="shared" si="2"/>
        <v>0</v>
      </c>
      <c r="D22" s="23">
        <f t="shared" si="2"/>
        <v>0</v>
      </c>
      <c r="E22" s="23">
        <f t="shared" si="2"/>
        <v>0</v>
      </c>
      <c r="F22" s="23">
        <f t="shared" si="35"/>
        <v>0</v>
      </c>
      <c r="G22" s="23">
        <f t="shared" si="7"/>
        <v>0</v>
      </c>
      <c r="H22" s="23">
        <f t="shared" si="4"/>
        <v>0</v>
      </c>
      <c r="I22" s="23">
        <f>H22+12</f>
        <v>12</v>
      </c>
      <c r="J22" s="23">
        <f t="shared" si="5"/>
        <v>12</v>
      </c>
      <c r="K22" s="23">
        <f t="shared" si="8"/>
        <v>12</v>
      </c>
      <c r="L22" s="23">
        <f t="shared" si="36"/>
        <v>12</v>
      </c>
      <c r="M22" s="23">
        <f t="shared" si="36"/>
        <v>12</v>
      </c>
      <c r="N22" s="23">
        <f t="shared" si="36"/>
        <v>12</v>
      </c>
      <c r="O22" s="23">
        <f t="shared" si="9"/>
        <v>12</v>
      </c>
      <c r="P22" s="23">
        <f t="shared" si="37"/>
        <v>12</v>
      </c>
      <c r="Q22" s="23">
        <f t="shared" si="37"/>
        <v>12</v>
      </c>
      <c r="R22" s="23">
        <f t="shared" si="37"/>
        <v>12</v>
      </c>
      <c r="S22" s="23">
        <f t="shared" si="38"/>
        <v>14</v>
      </c>
      <c r="T22" s="23">
        <f t="shared" si="39"/>
        <v>14</v>
      </c>
      <c r="U22" s="23">
        <f t="shared" si="10"/>
        <v>14</v>
      </c>
      <c r="V22" s="23">
        <f t="shared" si="40"/>
        <v>14</v>
      </c>
      <c r="W22" s="23">
        <f t="shared" si="11"/>
        <v>14</v>
      </c>
      <c r="X22" s="23">
        <f>W22+0</f>
        <v>14</v>
      </c>
      <c r="Y22" s="23">
        <f t="shared" si="12"/>
        <v>14</v>
      </c>
      <c r="Z22" s="23">
        <f t="shared" si="41"/>
        <v>14</v>
      </c>
      <c r="AA22" s="23">
        <f t="shared" si="41"/>
        <v>14</v>
      </c>
      <c r="AB22" s="23">
        <f t="shared" si="41"/>
        <v>14</v>
      </c>
      <c r="AC22" s="23">
        <f t="shared" si="41"/>
        <v>14</v>
      </c>
      <c r="AD22" s="23">
        <f t="shared" si="41"/>
        <v>14</v>
      </c>
      <c r="AE22" s="23">
        <f>AD22+0</f>
        <v>14</v>
      </c>
      <c r="AF22" s="23">
        <f t="shared" si="42"/>
        <v>14</v>
      </c>
      <c r="AG22" s="23">
        <f t="shared" si="42"/>
        <v>14</v>
      </c>
      <c r="AH22" s="23">
        <f t="shared" si="42"/>
        <v>14</v>
      </c>
      <c r="AI22" s="23">
        <f t="shared" si="42"/>
        <v>14</v>
      </c>
      <c r="AJ22" s="23">
        <f t="shared" si="42"/>
        <v>14</v>
      </c>
      <c r="AK22" s="15">
        <v>480</v>
      </c>
      <c r="AL22" s="4">
        <v>1</v>
      </c>
      <c r="AM22" s="15" t="s">
        <v>289</v>
      </c>
      <c r="AN22" s="15" t="s">
        <v>166</v>
      </c>
      <c r="AO22" s="15">
        <v>1966</v>
      </c>
      <c r="AP22" s="15" t="s">
        <v>208</v>
      </c>
    </row>
    <row r="23" spans="1:42" x14ac:dyDescent="0.3">
      <c r="A23" s="1"/>
      <c r="B23" s="23">
        <v>0</v>
      </c>
      <c r="C23" s="23">
        <f t="shared" ref="C23" si="81">B23+0</f>
        <v>0</v>
      </c>
      <c r="D23" s="23">
        <f t="shared" ref="D23" si="82">C23+0</f>
        <v>0</v>
      </c>
      <c r="E23" s="23">
        <f t="shared" ref="E23" si="83">D23+0</f>
        <v>0</v>
      </c>
      <c r="F23" s="23">
        <f t="shared" ref="F23" si="84">E23+0</f>
        <v>0</v>
      </c>
      <c r="G23" s="23">
        <f t="shared" ref="G23" si="85">F23+0</f>
        <v>0</v>
      </c>
      <c r="H23" s="23">
        <f t="shared" ref="H23" si="86">G23+0</f>
        <v>0</v>
      </c>
      <c r="I23" s="23">
        <f>H23+0</f>
        <v>0</v>
      </c>
      <c r="J23" s="23">
        <f t="shared" ref="J23" si="87">I23+0</f>
        <v>0</v>
      </c>
      <c r="K23" s="23">
        <f t="shared" ref="K23" si="88">J23+0</f>
        <v>0</v>
      </c>
      <c r="L23" s="23">
        <f t="shared" ref="L23" si="89">K23+0</f>
        <v>0</v>
      </c>
      <c r="M23" s="23">
        <f t="shared" ref="M23" si="90">L23+0</f>
        <v>0</v>
      </c>
      <c r="N23" s="23">
        <f t="shared" ref="N23" si="91">M23+0</f>
        <v>0</v>
      </c>
      <c r="O23" s="23">
        <f t="shared" ref="O23" si="92">N23+0</f>
        <v>0</v>
      </c>
      <c r="P23" s="23">
        <f t="shared" ref="P23" si="93">O23+0</f>
        <v>0</v>
      </c>
      <c r="Q23" s="23">
        <f t="shared" ref="Q23" si="94">P23+0</f>
        <v>0</v>
      </c>
      <c r="R23" s="23">
        <f t="shared" ref="R23" si="95">Q23+0</f>
        <v>0</v>
      </c>
      <c r="S23" s="23">
        <f>R23+0</f>
        <v>0</v>
      </c>
      <c r="T23" s="23">
        <f t="shared" ref="T23" si="96">S23+0</f>
        <v>0</v>
      </c>
      <c r="U23" s="23">
        <f t="shared" ref="U23" si="97">T23+0</f>
        <v>0</v>
      </c>
      <c r="V23" s="23">
        <f t="shared" ref="V23" si="98">U23+0</f>
        <v>0</v>
      </c>
      <c r="W23" s="23">
        <f t="shared" ref="W23" si="99">V23+0</f>
        <v>0</v>
      </c>
      <c r="X23" s="23">
        <f>W23+0</f>
        <v>0</v>
      </c>
      <c r="Y23" s="23">
        <f t="shared" ref="Y23" si="100">X23+0</f>
        <v>0</v>
      </c>
      <c r="Z23" s="23">
        <f t="shared" ref="Z23" si="101">Y23+0</f>
        <v>0</v>
      </c>
      <c r="AA23" s="23">
        <f t="shared" ref="AA23" si="102">Z23+0</f>
        <v>0</v>
      </c>
      <c r="AB23" s="23">
        <f t="shared" ref="AB23" si="103">AA23+0</f>
        <v>0</v>
      </c>
      <c r="AC23" s="23">
        <f t="shared" ref="AC23" si="104">AB23+0</f>
        <v>0</v>
      </c>
      <c r="AD23" s="23">
        <f t="shared" ref="AD23" si="105">AC23+0</f>
        <v>0</v>
      </c>
      <c r="AE23" s="23">
        <f>AD23+0</f>
        <v>0</v>
      </c>
      <c r="AF23" s="23">
        <f t="shared" ref="AF23" si="106">AE23+0</f>
        <v>0</v>
      </c>
      <c r="AG23" s="23">
        <f t="shared" ref="AG23" si="107">AF23+0</f>
        <v>0</v>
      </c>
      <c r="AH23" s="23">
        <f t="shared" ref="AH23" si="108">AG23+0</f>
        <v>0</v>
      </c>
      <c r="AI23" s="23">
        <f t="shared" ref="AI23" si="109">AH23+0</f>
        <v>0</v>
      </c>
      <c r="AJ23" s="23">
        <f t="shared" ref="AJ23" si="110">AI23+0</f>
        <v>0</v>
      </c>
    </row>
    <row r="24" spans="1:42" x14ac:dyDescent="0.3">
      <c r="A24" s="1"/>
      <c r="B24" s="23">
        <v>0</v>
      </c>
      <c r="C24" s="23">
        <f t="shared" si="2"/>
        <v>0</v>
      </c>
      <c r="D24" s="23">
        <f t="shared" si="2"/>
        <v>0</v>
      </c>
      <c r="E24" s="23">
        <f t="shared" si="2"/>
        <v>0</v>
      </c>
      <c r="F24" s="23">
        <f t="shared" si="35"/>
        <v>0</v>
      </c>
      <c r="G24" s="23">
        <f t="shared" si="7"/>
        <v>0</v>
      </c>
      <c r="H24" s="23">
        <f t="shared" si="4"/>
        <v>0</v>
      </c>
      <c r="I24" s="23">
        <f>H24+0</f>
        <v>0</v>
      </c>
      <c r="J24" s="23">
        <f t="shared" si="5"/>
        <v>0</v>
      </c>
      <c r="K24" s="23">
        <f t="shared" si="8"/>
        <v>0</v>
      </c>
      <c r="L24" s="23">
        <f t="shared" si="36"/>
        <v>0</v>
      </c>
      <c r="M24" s="23">
        <f t="shared" si="36"/>
        <v>0</v>
      </c>
      <c r="N24" s="23">
        <f t="shared" si="36"/>
        <v>0</v>
      </c>
      <c r="O24" s="23">
        <f t="shared" si="9"/>
        <v>0</v>
      </c>
      <c r="P24" s="23">
        <f t="shared" si="37"/>
        <v>0</v>
      </c>
      <c r="Q24" s="23">
        <f t="shared" si="37"/>
        <v>0</v>
      </c>
      <c r="R24" s="23">
        <f t="shared" si="37"/>
        <v>0</v>
      </c>
      <c r="S24" s="23">
        <f>R24+0</f>
        <v>0</v>
      </c>
      <c r="T24" s="23">
        <f t="shared" si="39"/>
        <v>0</v>
      </c>
      <c r="U24" s="23">
        <f t="shared" si="10"/>
        <v>0</v>
      </c>
      <c r="V24" s="23">
        <f t="shared" si="40"/>
        <v>0</v>
      </c>
      <c r="W24" s="23">
        <f t="shared" si="11"/>
        <v>0</v>
      </c>
      <c r="X24" s="23">
        <f>W24+0</f>
        <v>0</v>
      </c>
      <c r="Y24" s="23">
        <f t="shared" si="12"/>
        <v>0</v>
      </c>
      <c r="Z24" s="23">
        <f t="shared" si="41"/>
        <v>0</v>
      </c>
      <c r="AA24" s="23">
        <f t="shared" si="41"/>
        <v>0</v>
      </c>
      <c r="AB24" s="23">
        <f t="shared" si="41"/>
        <v>0</v>
      </c>
      <c r="AC24" s="23">
        <f t="shared" si="41"/>
        <v>0</v>
      </c>
      <c r="AD24" s="23">
        <f t="shared" si="41"/>
        <v>0</v>
      </c>
      <c r="AE24" s="23">
        <f>AD24+0</f>
        <v>0</v>
      </c>
      <c r="AF24" s="23">
        <f t="shared" si="42"/>
        <v>0</v>
      </c>
      <c r="AG24" s="23">
        <f t="shared" si="42"/>
        <v>0</v>
      </c>
      <c r="AH24" s="23">
        <f t="shared" si="42"/>
        <v>0</v>
      </c>
      <c r="AI24" s="23">
        <f t="shared" si="42"/>
        <v>0</v>
      </c>
      <c r="AJ24" s="23">
        <f t="shared" si="42"/>
        <v>0</v>
      </c>
    </row>
    <row r="25" spans="1:42" x14ac:dyDescent="0.3">
      <c r="A25" s="1"/>
    </row>
    <row r="250" spans="39:39" x14ac:dyDescent="0.3">
      <c r="AM250" s="18"/>
    </row>
    <row r="251" spans="39:39" x14ac:dyDescent="0.3">
      <c r="AM251" s="18"/>
    </row>
    <row r="252" spans="39:39" x14ac:dyDescent="0.3">
      <c r="AM252" s="18"/>
    </row>
    <row r="253" spans="39:39" x14ac:dyDescent="0.3">
      <c r="AM253" s="18"/>
    </row>
    <row r="254" spans="39:39" x14ac:dyDescent="0.3">
      <c r="AM254" s="18"/>
    </row>
    <row r="255" spans="39:39" x14ac:dyDescent="0.3">
      <c r="AM255" s="18"/>
    </row>
    <row r="465" spans="38:38" x14ac:dyDescent="0.3">
      <c r="AL465" s="20"/>
    </row>
    <row r="466" spans="38:38" x14ac:dyDescent="0.3">
      <c r="AL466" s="20"/>
    </row>
    <row r="467" spans="38:38" x14ac:dyDescent="0.3">
      <c r="AL467" s="20"/>
    </row>
    <row r="468" spans="38:38" x14ac:dyDescent="0.3">
      <c r="AL468" s="20"/>
    </row>
    <row r="469" spans="38:38" x14ac:dyDescent="0.3">
      <c r="AL469" s="20"/>
    </row>
    <row r="470" spans="38:38" x14ac:dyDescent="0.3">
      <c r="AL470" s="20"/>
    </row>
    <row r="471" spans="38:38" x14ac:dyDescent="0.3">
      <c r="AL471" s="20"/>
    </row>
    <row r="472" spans="38:38" x14ac:dyDescent="0.3">
      <c r="AL472" s="20"/>
    </row>
    <row r="473" spans="38:38" x14ac:dyDescent="0.3">
      <c r="AL473" s="20"/>
    </row>
    <row r="474" spans="38:38" x14ac:dyDescent="0.3">
      <c r="AL474" s="20"/>
    </row>
    <row r="475" spans="38:38" x14ac:dyDescent="0.3">
      <c r="AL475" s="20"/>
    </row>
    <row r="476" spans="38:38" x14ac:dyDescent="0.3">
      <c r="AL476" s="20"/>
    </row>
    <row r="477" spans="38:38" x14ac:dyDescent="0.3">
      <c r="AL477" s="20"/>
    </row>
    <row r="478" spans="38:38" x14ac:dyDescent="0.3">
      <c r="AL478" s="20"/>
    </row>
    <row r="479" spans="38:38" x14ac:dyDescent="0.3">
      <c r="AL479" s="20"/>
    </row>
    <row r="480" spans="38:38" x14ac:dyDescent="0.3">
      <c r="AL480" s="20"/>
    </row>
    <row r="481" spans="38:38" x14ac:dyDescent="0.3">
      <c r="AL481" s="20"/>
    </row>
    <row r="482" spans="38:38" x14ac:dyDescent="0.3">
      <c r="AL482" s="20"/>
    </row>
  </sheetData>
  <sortState ref="A2:AQ503">
    <sortCondition ref="AN2:AN503"/>
    <sortCondition ref="AO2:AO503"/>
    <sortCondition ref="AM2:AM503"/>
  </sortState>
  <conditionalFormatting sqref="AL1:AL1048576">
    <cfRule type="cellIs" dxfId="83" priority="4" operator="equal">
      <formula>3</formula>
    </cfRule>
    <cfRule type="cellIs" dxfId="82" priority="5" operator="equal">
      <formula>2</formula>
    </cfRule>
    <cfRule type="cellIs" dxfId="81" priority="6" operator="equal">
      <formula>1</formula>
    </cfRule>
  </conditionalFormatting>
  <conditionalFormatting sqref="AM1:AM1048576">
    <cfRule type="expression" dxfId="80" priority="1">
      <formula>$AL1=3</formula>
    </cfRule>
    <cfRule type="expression" dxfId="79" priority="2">
      <formula>$AL1=2</formula>
    </cfRule>
    <cfRule type="expression" dxfId="78" priority="3">
      <formula>$AL1=1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R463"/>
  <sheetViews>
    <sheetView zoomScale="57" zoomScaleNormal="57" workbookViewId="0">
      <selection activeCell="P11" sqref="P11"/>
    </sheetView>
  </sheetViews>
  <sheetFormatPr defaultRowHeight="20.25" x14ac:dyDescent="0.3"/>
  <cols>
    <col min="1" max="1" width="9.140625" style="1"/>
    <col min="2" max="2" width="8.85546875" style="23" customWidth="1"/>
    <col min="3" max="37" width="6.7109375" style="23" customWidth="1"/>
    <col min="38" max="38" width="10.28515625" style="15" customWidth="1"/>
    <col min="39" max="39" width="10.28515625" style="4" customWidth="1"/>
    <col min="40" max="40" width="51" style="15" customWidth="1"/>
    <col min="41" max="41" width="16.28515625" style="15" customWidth="1"/>
    <col min="42" max="42" width="9.140625" style="15"/>
    <col min="43" max="43" width="13" style="15" customWidth="1"/>
    <col min="44" max="44" width="26.85546875" style="15" customWidth="1"/>
    <col min="45" max="16384" width="9.140625" style="19"/>
  </cols>
  <sheetData>
    <row r="1" spans="1:44" s="60" customFormat="1" ht="59.25" customHeight="1" x14ac:dyDescent="0.25">
      <c r="A1" s="40" t="s">
        <v>37</v>
      </c>
      <c r="B1" s="58" t="s">
        <v>82</v>
      </c>
      <c r="C1" s="59">
        <v>4</v>
      </c>
      <c r="D1" s="59">
        <f>C1+2</f>
        <v>6</v>
      </c>
      <c r="E1" s="59">
        <f t="shared" ref="E1:AE1" si="0">D1+2</f>
        <v>8</v>
      </c>
      <c r="F1" s="59">
        <f t="shared" si="0"/>
        <v>10</v>
      </c>
      <c r="G1" s="59">
        <f t="shared" si="0"/>
        <v>12</v>
      </c>
      <c r="H1" s="59">
        <f t="shared" si="0"/>
        <v>14</v>
      </c>
      <c r="I1" s="59">
        <f t="shared" si="0"/>
        <v>16</v>
      </c>
      <c r="J1" s="59">
        <f t="shared" si="0"/>
        <v>18</v>
      </c>
      <c r="K1" s="59">
        <f t="shared" si="0"/>
        <v>20</v>
      </c>
      <c r="L1" s="59">
        <f t="shared" si="0"/>
        <v>22</v>
      </c>
      <c r="M1" s="59">
        <f t="shared" si="0"/>
        <v>24</v>
      </c>
      <c r="N1" s="59">
        <f t="shared" si="0"/>
        <v>26</v>
      </c>
      <c r="O1" s="59">
        <f t="shared" si="0"/>
        <v>28</v>
      </c>
      <c r="P1" s="59">
        <f t="shared" si="0"/>
        <v>30</v>
      </c>
      <c r="Q1" s="59">
        <f t="shared" si="0"/>
        <v>32</v>
      </c>
      <c r="R1" s="59">
        <f t="shared" si="0"/>
        <v>34</v>
      </c>
      <c r="S1" s="59">
        <f t="shared" si="0"/>
        <v>36</v>
      </c>
      <c r="T1" s="59">
        <f t="shared" si="0"/>
        <v>38</v>
      </c>
      <c r="U1" s="59">
        <f t="shared" si="0"/>
        <v>40</v>
      </c>
      <c r="V1" s="59">
        <f t="shared" si="0"/>
        <v>42</v>
      </c>
      <c r="W1" s="59">
        <f t="shared" si="0"/>
        <v>44</v>
      </c>
      <c r="X1" s="59">
        <f t="shared" si="0"/>
        <v>46</v>
      </c>
      <c r="Y1" s="59">
        <f t="shared" si="0"/>
        <v>48</v>
      </c>
      <c r="Z1" s="59">
        <f t="shared" si="0"/>
        <v>50</v>
      </c>
      <c r="AA1" s="59">
        <f t="shared" si="0"/>
        <v>52</v>
      </c>
      <c r="AB1" s="59">
        <f t="shared" si="0"/>
        <v>54</v>
      </c>
      <c r="AC1" s="59">
        <f t="shared" si="0"/>
        <v>56</v>
      </c>
      <c r="AD1" s="59">
        <f t="shared" si="0"/>
        <v>58</v>
      </c>
      <c r="AE1" s="59">
        <f t="shared" si="0"/>
        <v>60</v>
      </c>
      <c r="AF1" s="59">
        <v>70</v>
      </c>
      <c r="AG1" s="59">
        <v>80</v>
      </c>
      <c r="AH1" s="59">
        <v>90</v>
      </c>
      <c r="AI1" s="59">
        <v>100</v>
      </c>
      <c r="AJ1" s="59">
        <v>110</v>
      </c>
      <c r="AK1" s="59">
        <v>120</v>
      </c>
      <c r="AL1" s="55" t="s">
        <v>0</v>
      </c>
      <c r="AM1" s="43" t="s">
        <v>273</v>
      </c>
      <c r="AN1" s="55" t="s">
        <v>13</v>
      </c>
      <c r="AO1" s="55" t="s">
        <v>10</v>
      </c>
      <c r="AP1" s="55" t="s">
        <v>11</v>
      </c>
      <c r="AQ1" s="55" t="s">
        <v>14</v>
      </c>
      <c r="AR1" s="55" t="s">
        <v>12</v>
      </c>
    </row>
    <row r="2" spans="1:44" x14ac:dyDescent="0.3">
      <c r="A2" s="1">
        <v>12</v>
      </c>
      <c r="B2" s="23">
        <v>4.0999999999999996</v>
      </c>
      <c r="C2" s="23">
        <v>4.29</v>
      </c>
      <c r="D2" s="23">
        <v>5.35</v>
      </c>
      <c r="E2" s="23">
        <v>5.18</v>
      </c>
      <c r="F2" s="23">
        <v>4.97</v>
      </c>
      <c r="G2" s="23">
        <v>5.05</v>
      </c>
      <c r="H2" s="23">
        <v>4.8499999999999996</v>
      </c>
      <c r="I2" s="23">
        <v>3.85</v>
      </c>
      <c r="J2" s="23">
        <v>3.69</v>
      </c>
      <c r="K2" s="23">
        <v>3.81</v>
      </c>
      <c r="AL2" s="2">
        <v>365</v>
      </c>
      <c r="AM2" s="4">
        <v>2</v>
      </c>
      <c r="AN2" s="15" t="s">
        <v>95</v>
      </c>
      <c r="AO2" s="15" t="s">
        <v>90</v>
      </c>
      <c r="AP2" s="15">
        <v>1961</v>
      </c>
      <c r="AQ2" s="15" t="s">
        <v>91</v>
      </c>
    </row>
    <row r="3" spans="1:44" x14ac:dyDescent="0.3">
      <c r="A3" s="1">
        <v>10</v>
      </c>
      <c r="B3" s="23">
        <v>4.1100000000000003</v>
      </c>
      <c r="C3" s="23">
        <v>4.76</v>
      </c>
      <c r="D3" s="23">
        <v>5.16</v>
      </c>
      <c r="E3" s="23">
        <v>5.16</v>
      </c>
      <c r="F3" s="23">
        <v>5.3</v>
      </c>
      <c r="G3" s="23">
        <v>5.2</v>
      </c>
      <c r="H3" s="23">
        <v>4.58</v>
      </c>
      <c r="I3" s="23">
        <v>3.85</v>
      </c>
      <c r="J3" s="23">
        <v>4.38</v>
      </c>
      <c r="K3" s="23">
        <v>3.45</v>
      </c>
      <c r="AL3" s="2">
        <v>280</v>
      </c>
      <c r="AM3" s="4">
        <v>2</v>
      </c>
      <c r="AN3" s="15" t="s">
        <v>94</v>
      </c>
      <c r="AO3" s="15" t="s">
        <v>90</v>
      </c>
      <c r="AP3" s="15">
        <v>1961</v>
      </c>
      <c r="AQ3" s="15" t="s">
        <v>91</v>
      </c>
    </row>
    <row r="4" spans="1:44" x14ac:dyDescent="0.3">
      <c r="A4" s="1">
        <v>34</v>
      </c>
      <c r="E4" s="23">
        <v>3.6</v>
      </c>
      <c r="H4" s="23">
        <v>3.7</v>
      </c>
      <c r="L4" s="23">
        <v>3.9</v>
      </c>
      <c r="AL4" s="15">
        <v>2520</v>
      </c>
      <c r="AM4" s="4">
        <v>1</v>
      </c>
      <c r="AN4" s="15" t="s">
        <v>225</v>
      </c>
      <c r="AO4" s="15" t="s">
        <v>63</v>
      </c>
      <c r="AP4" s="15">
        <v>1969</v>
      </c>
      <c r="AQ4" s="15" t="s">
        <v>64</v>
      </c>
    </row>
    <row r="5" spans="1:44" x14ac:dyDescent="0.3">
      <c r="A5" s="1">
        <v>12</v>
      </c>
      <c r="E5" s="23">
        <v>4.2</v>
      </c>
      <c r="I5" s="23">
        <v>3.9</v>
      </c>
      <c r="L5" s="23">
        <v>3.4</v>
      </c>
      <c r="AL5" s="15">
        <v>2520</v>
      </c>
      <c r="AM5" s="4">
        <v>2</v>
      </c>
      <c r="AN5" s="15" t="s">
        <v>225</v>
      </c>
      <c r="AO5" s="15" t="s">
        <v>63</v>
      </c>
      <c r="AP5" s="15">
        <v>1969</v>
      </c>
      <c r="AQ5" s="15" t="s">
        <v>64</v>
      </c>
    </row>
    <row r="6" spans="1:44" x14ac:dyDescent="0.3">
      <c r="A6" s="1">
        <v>52</v>
      </c>
      <c r="E6" s="23">
        <v>3.7</v>
      </c>
      <c r="H6" s="23">
        <v>4.3</v>
      </c>
      <c r="L6" s="23">
        <v>3.9</v>
      </c>
      <c r="AL6" s="15">
        <v>2520</v>
      </c>
      <c r="AM6" s="4">
        <v>3</v>
      </c>
      <c r="AN6" s="15" t="s">
        <v>225</v>
      </c>
      <c r="AO6" s="15" t="s">
        <v>63</v>
      </c>
      <c r="AP6" s="15">
        <v>1969</v>
      </c>
      <c r="AQ6" s="15" t="s">
        <v>64</v>
      </c>
    </row>
    <row r="7" spans="1:44" x14ac:dyDescent="0.3">
      <c r="A7" s="1">
        <v>42</v>
      </c>
      <c r="B7" s="23">
        <v>4.5</v>
      </c>
      <c r="D7" s="23">
        <v>5.59</v>
      </c>
      <c r="E7" s="23">
        <v>5.0199999999999996</v>
      </c>
      <c r="G7" s="23">
        <v>3.79</v>
      </c>
      <c r="I7" s="23">
        <v>3.61</v>
      </c>
      <c r="L7" s="23">
        <v>3.18</v>
      </c>
      <c r="O7" s="23">
        <v>2.27</v>
      </c>
      <c r="S7" s="23">
        <v>1.81</v>
      </c>
      <c r="V7" s="23">
        <v>1.4</v>
      </c>
      <c r="AL7" s="15">
        <v>540</v>
      </c>
      <c r="AM7" s="4">
        <v>3</v>
      </c>
      <c r="AN7" s="15" t="s">
        <v>79</v>
      </c>
      <c r="AO7" s="15" t="s">
        <v>80</v>
      </c>
      <c r="AP7" s="15">
        <v>1999</v>
      </c>
      <c r="AQ7" s="15" t="s">
        <v>81</v>
      </c>
    </row>
    <row r="8" spans="1:44" x14ac:dyDescent="0.3">
      <c r="A8" s="1">
        <v>42</v>
      </c>
      <c r="E8" s="23">
        <v>4.83</v>
      </c>
      <c r="H8" s="23">
        <v>4.8499999999999996</v>
      </c>
      <c r="L8" s="23">
        <v>3.97</v>
      </c>
      <c r="O8" s="23">
        <v>3.78</v>
      </c>
      <c r="AG8" s="24"/>
      <c r="AH8" s="24"/>
      <c r="AI8" s="24"/>
      <c r="AJ8" s="24"/>
      <c r="AK8" s="25"/>
      <c r="AL8" s="15">
        <v>7200</v>
      </c>
      <c r="AM8" s="4">
        <v>1</v>
      </c>
      <c r="AN8" s="15" t="s">
        <v>243</v>
      </c>
      <c r="AO8" s="15" t="s">
        <v>235</v>
      </c>
      <c r="AP8" s="15">
        <v>1959</v>
      </c>
      <c r="AQ8" s="15" t="s">
        <v>179</v>
      </c>
      <c r="AR8" s="15" t="s">
        <v>245</v>
      </c>
    </row>
    <row r="9" spans="1:44" x14ac:dyDescent="0.3">
      <c r="A9" s="1">
        <v>40</v>
      </c>
      <c r="E9" s="23">
        <v>2.9</v>
      </c>
      <c r="I9" s="23">
        <v>3.43</v>
      </c>
      <c r="L9" s="23">
        <v>2.75</v>
      </c>
      <c r="O9" s="23">
        <v>4.95</v>
      </c>
      <c r="AB9" s="24"/>
      <c r="AC9" s="24"/>
      <c r="AD9" s="24"/>
      <c r="AE9" s="24"/>
      <c r="AF9" s="25"/>
      <c r="AL9" s="15">
        <v>7242</v>
      </c>
      <c r="AM9" s="4">
        <v>2</v>
      </c>
      <c r="AN9" s="15" t="s">
        <v>243</v>
      </c>
      <c r="AO9" s="15" t="s">
        <v>235</v>
      </c>
      <c r="AP9" s="15">
        <v>1959</v>
      </c>
      <c r="AQ9" s="15" t="s">
        <v>179</v>
      </c>
      <c r="AR9" s="15" t="s">
        <v>245</v>
      </c>
    </row>
    <row r="10" spans="1:44" x14ac:dyDescent="0.3">
      <c r="A10" s="1">
        <v>46</v>
      </c>
      <c r="E10" s="23">
        <v>4.37</v>
      </c>
      <c r="H10" s="23">
        <v>4.0199999999999996</v>
      </c>
      <c r="L10" s="23">
        <v>3.93</v>
      </c>
      <c r="O10" s="23">
        <v>3.59</v>
      </c>
      <c r="S10" s="23">
        <v>3.59</v>
      </c>
      <c r="V10" s="23">
        <v>2.9</v>
      </c>
      <c r="Z10" s="23">
        <v>3.39</v>
      </c>
      <c r="AL10" s="2">
        <f>7200+21</f>
        <v>7221</v>
      </c>
      <c r="AM10" s="4">
        <v>3</v>
      </c>
      <c r="AN10" s="15" t="s">
        <v>243</v>
      </c>
      <c r="AO10" s="15" t="s">
        <v>235</v>
      </c>
      <c r="AP10" s="15">
        <v>1959</v>
      </c>
      <c r="AQ10" s="15" t="s">
        <v>179</v>
      </c>
      <c r="AR10" s="15" t="s">
        <v>245</v>
      </c>
    </row>
    <row r="11" spans="1:44" x14ac:dyDescent="0.3">
      <c r="A11" s="1">
        <v>36</v>
      </c>
      <c r="E11" s="23">
        <v>4.97</v>
      </c>
      <c r="H11" s="23">
        <v>3.07</v>
      </c>
      <c r="L11" s="23">
        <v>3.58</v>
      </c>
      <c r="O11" s="23">
        <v>4.78</v>
      </c>
      <c r="AG11" s="24"/>
      <c r="AH11" s="24"/>
      <c r="AI11" s="24"/>
      <c r="AJ11" s="24"/>
      <c r="AK11" s="25"/>
      <c r="AL11" s="15">
        <v>7200</v>
      </c>
      <c r="AM11" s="4">
        <v>1</v>
      </c>
      <c r="AN11" s="15" t="s">
        <v>244</v>
      </c>
      <c r="AO11" s="15" t="s">
        <v>235</v>
      </c>
      <c r="AP11" s="15">
        <v>1959</v>
      </c>
      <c r="AQ11" s="15" t="s">
        <v>179</v>
      </c>
      <c r="AR11" s="15" t="s">
        <v>245</v>
      </c>
    </row>
    <row r="12" spans="1:44" x14ac:dyDescent="0.3">
      <c r="A12" s="1">
        <v>34</v>
      </c>
      <c r="E12" s="23">
        <v>3.5</v>
      </c>
      <c r="I12" s="23">
        <v>2.98</v>
      </c>
      <c r="AB12" s="24"/>
      <c r="AC12" s="24"/>
      <c r="AD12" s="24"/>
      <c r="AE12" s="24"/>
      <c r="AF12" s="25"/>
      <c r="AL12" s="15">
        <v>7242</v>
      </c>
      <c r="AM12" s="4">
        <v>2</v>
      </c>
      <c r="AN12" s="15" t="s">
        <v>244</v>
      </c>
      <c r="AO12" s="15" t="s">
        <v>235</v>
      </c>
      <c r="AP12" s="15">
        <v>1959</v>
      </c>
      <c r="AQ12" s="15" t="s">
        <v>179</v>
      </c>
      <c r="AR12" s="15" t="s">
        <v>245</v>
      </c>
    </row>
    <row r="13" spans="1:44" x14ac:dyDescent="0.3">
      <c r="A13" s="1">
        <v>28</v>
      </c>
      <c r="E13" s="23">
        <v>3.83</v>
      </c>
      <c r="H13" s="23">
        <v>2.95</v>
      </c>
      <c r="L13" s="23">
        <v>3.09</v>
      </c>
      <c r="O13" s="23">
        <v>2.0699999999999998</v>
      </c>
      <c r="AL13" s="2">
        <f>7200+21</f>
        <v>7221</v>
      </c>
      <c r="AM13" s="4">
        <v>3</v>
      </c>
      <c r="AN13" s="15" t="s">
        <v>244</v>
      </c>
      <c r="AO13" s="15" t="s">
        <v>235</v>
      </c>
      <c r="AP13" s="15">
        <v>1959</v>
      </c>
      <c r="AQ13" s="15" t="s">
        <v>179</v>
      </c>
      <c r="AR13" s="15" t="s">
        <v>245</v>
      </c>
    </row>
    <row r="237" spans="40:40" x14ac:dyDescent="0.3">
      <c r="AN237" s="18"/>
    </row>
    <row r="238" spans="40:40" x14ac:dyDescent="0.3">
      <c r="AN238" s="18"/>
    </row>
    <row r="239" spans="40:40" x14ac:dyDescent="0.3">
      <c r="AN239" s="18"/>
    </row>
    <row r="240" spans="40:40" x14ac:dyDescent="0.3">
      <c r="AN240" s="18"/>
    </row>
    <row r="241" spans="40:40" x14ac:dyDescent="0.3">
      <c r="AN241" s="18"/>
    </row>
    <row r="242" spans="40:40" x14ac:dyDescent="0.3">
      <c r="AN242" s="18"/>
    </row>
    <row r="446" spans="39:39" x14ac:dyDescent="0.3">
      <c r="AM446" s="20"/>
    </row>
    <row r="447" spans="39:39" x14ac:dyDescent="0.3">
      <c r="AM447" s="20"/>
    </row>
    <row r="448" spans="39:39" x14ac:dyDescent="0.3">
      <c r="AM448" s="20"/>
    </row>
    <row r="449" spans="39:39" x14ac:dyDescent="0.3">
      <c r="AM449" s="20"/>
    </row>
    <row r="450" spans="39:39" x14ac:dyDescent="0.3">
      <c r="AM450" s="20"/>
    </row>
    <row r="451" spans="39:39" x14ac:dyDescent="0.3">
      <c r="AM451" s="20"/>
    </row>
    <row r="452" spans="39:39" x14ac:dyDescent="0.3">
      <c r="AM452" s="20"/>
    </row>
    <row r="453" spans="39:39" x14ac:dyDescent="0.3">
      <c r="AM453" s="20"/>
    </row>
    <row r="454" spans="39:39" x14ac:dyDescent="0.3">
      <c r="AM454" s="20"/>
    </row>
    <row r="455" spans="39:39" x14ac:dyDescent="0.3">
      <c r="AM455" s="20"/>
    </row>
    <row r="456" spans="39:39" x14ac:dyDescent="0.3">
      <c r="AM456" s="20"/>
    </row>
    <row r="457" spans="39:39" x14ac:dyDescent="0.3">
      <c r="AM457" s="20"/>
    </row>
    <row r="458" spans="39:39" x14ac:dyDescent="0.3">
      <c r="AM458" s="20"/>
    </row>
    <row r="459" spans="39:39" x14ac:dyDescent="0.3">
      <c r="AM459" s="20"/>
    </row>
    <row r="460" spans="39:39" x14ac:dyDescent="0.3">
      <c r="AM460" s="20"/>
    </row>
    <row r="461" spans="39:39" x14ac:dyDescent="0.3">
      <c r="AM461" s="20"/>
    </row>
    <row r="462" spans="39:39" x14ac:dyDescent="0.3">
      <c r="AM462" s="20"/>
    </row>
    <row r="463" spans="39:39" x14ac:dyDescent="0.3">
      <c r="AM463" s="20"/>
    </row>
  </sheetData>
  <sortState ref="A2:AR503">
    <sortCondition ref="AO2:AO503"/>
    <sortCondition ref="AP2:AP503"/>
    <sortCondition ref="AN2:AN503"/>
  </sortState>
  <conditionalFormatting sqref="AM1:AM1048576">
    <cfRule type="cellIs" dxfId="77" priority="4" operator="equal">
      <formula>3</formula>
    </cfRule>
    <cfRule type="cellIs" dxfId="76" priority="5" operator="equal">
      <formula>2</formula>
    </cfRule>
    <cfRule type="cellIs" dxfId="75" priority="6" operator="equal">
      <formula>1</formula>
    </cfRule>
  </conditionalFormatting>
  <conditionalFormatting sqref="AN1:AN1048576">
    <cfRule type="expression" dxfId="74" priority="1">
      <formula>$AM1=3</formula>
    </cfRule>
    <cfRule type="expression" dxfId="73" priority="2">
      <formula>$AM1=2</formula>
    </cfRule>
    <cfRule type="expression" dxfId="72" priority="3">
      <formula>$AM1=1</formula>
    </cfRule>
  </conditionalFormatting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R492"/>
  <sheetViews>
    <sheetView tabSelected="1" topLeftCell="R1" zoomScale="57" zoomScaleNormal="57" workbookViewId="0">
      <pane ySplit="1" topLeftCell="A89" activePane="bottomLeft" state="frozen"/>
      <selection pane="bottomLeft" activeCell="AJ114" sqref="AJ114"/>
    </sheetView>
  </sheetViews>
  <sheetFormatPr defaultRowHeight="20.25" x14ac:dyDescent="0.3"/>
  <cols>
    <col min="1" max="1" width="12.7109375" style="1" customWidth="1"/>
    <col min="2" max="2" width="8.85546875" style="23" customWidth="1"/>
    <col min="3" max="37" width="6.7109375" style="23" customWidth="1"/>
    <col min="38" max="38" width="10.28515625" style="15" customWidth="1"/>
    <col min="39" max="39" width="10.28515625" style="4" customWidth="1"/>
    <col min="40" max="40" width="51" style="15" customWidth="1"/>
    <col min="41" max="41" width="16.28515625" style="15" customWidth="1"/>
    <col min="42" max="42" width="9.140625" style="15"/>
    <col min="43" max="43" width="13" style="15" customWidth="1"/>
    <col min="44" max="44" width="26.85546875" style="15" customWidth="1"/>
    <col min="45" max="16384" width="9.140625" style="19"/>
  </cols>
  <sheetData>
    <row r="1" spans="1:44" s="65" customFormat="1" ht="63.75" customHeight="1" x14ac:dyDescent="0.25">
      <c r="A1" s="66" t="s">
        <v>37</v>
      </c>
      <c r="B1" s="62" t="s">
        <v>36</v>
      </c>
      <c r="C1" s="63">
        <v>4</v>
      </c>
      <c r="D1" s="63">
        <f>C1+2</f>
        <v>6</v>
      </c>
      <c r="E1" s="63">
        <f t="shared" ref="E1:AE1" si="0">D1+2</f>
        <v>8</v>
      </c>
      <c r="F1" s="63">
        <f t="shared" si="0"/>
        <v>10</v>
      </c>
      <c r="G1" s="63">
        <f t="shared" si="0"/>
        <v>12</v>
      </c>
      <c r="H1" s="63">
        <f t="shared" si="0"/>
        <v>14</v>
      </c>
      <c r="I1" s="63">
        <f t="shared" si="0"/>
        <v>16</v>
      </c>
      <c r="J1" s="63">
        <f t="shared" si="0"/>
        <v>18</v>
      </c>
      <c r="K1" s="63">
        <f t="shared" si="0"/>
        <v>20</v>
      </c>
      <c r="L1" s="63">
        <f t="shared" si="0"/>
        <v>22</v>
      </c>
      <c r="M1" s="63">
        <f t="shared" si="0"/>
        <v>24</v>
      </c>
      <c r="N1" s="63">
        <f t="shared" si="0"/>
        <v>26</v>
      </c>
      <c r="O1" s="63">
        <f t="shared" si="0"/>
        <v>28</v>
      </c>
      <c r="P1" s="63">
        <f t="shared" si="0"/>
        <v>30</v>
      </c>
      <c r="Q1" s="63">
        <f t="shared" si="0"/>
        <v>32</v>
      </c>
      <c r="R1" s="63">
        <f t="shared" si="0"/>
        <v>34</v>
      </c>
      <c r="S1" s="63">
        <f t="shared" si="0"/>
        <v>36</v>
      </c>
      <c r="T1" s="63">
        <f t="shared" si="0"/>
        <v>38</v>
      </c>
      <c r="U1" s="63">
        <f t="shared" si="0"/>
        <v>40</v>
      </c>
      <c r="V1" s="63">
        <f t="shared" si="0"/>
        <v>42</v>
      </c>
      <c r="W1" s="63">
        <f t="shared" si="0"/>
        <v>44</v>
      </c>
      <c r="X1" s="63">
        <f t="shared" si="0"/>
        <v>46</v>
      </c>
      <c r="Y1" s="63">
        <f t="shared" si="0"/>
        <v>48</v>
      </c>
      <c r="Z1" s="63">
        <f t="shared" si="0"/>
        <v>50</v>
      </c>
      <c r="AA1" s="63">
        <f t="shared" si="0"/>
        <v>52</v>
      </c>
      <c r="AB1" s="63">
        <f t="shared" si="0"/>
        <v>54</v>
      </c>
      <c r="AC1" s="63">
        <f t="shared" si="0"/>
        <v>56</v>
      </c>
      <c r="AD1" s="63">
        <f t="shared" si="0"/>
        <v>58</v>
      </c>
      <c r="AE1" s="63">
        <f t="shared" si="0"/>
        <v>60</v>
      </c>
      <c r="AF1" s="63">
        <v>70</v>
      </c>
      <c r="AG1" s="63">
        <v>80</v>
      </c>
      <c r="AH1" s="63">
        <v>90</v>
      </c>
      <c r="AI1" s="63">
        <v>100</v>
      </c>
      <c r="AJ1" s="63">
        <v>110</v>
      </c>
      <c r="AK1" s="63">
        <v>120</v>
      </c>
      <c r="AL1" s="64" t="s">
        <v>0</v>
      </c>
      <c r="AM1" s="43" t="s">
        <v>273</v>
      </c>
      <c r="AN1" s="55" t="s">
        <v>13</v>
      </c>
      <c r="AO1" s="64" t="s">
        <v>10</v>
      </c>
      <c r="AP1" s="64" t="s">
        <v>11</v>
      </c>
      <c r="AQ1" s="64" t="s">
        <v>14</v>
      </c>
      <c r="AR1" s="64" t="s">
        <v>12</v>
      </c>
    </row>
    <row r="2" spans="1:44" x14ac:dyDescent="0.3">
      <c r="A2" s="1">
        <v>5</v>
      </c>
      <c r="B2" s="23">
        <v>0</v>
      </c>
      <c r="C2" s="23">
        <f t="shared" ref="C2:C13" si="1">B2+0</f>
        <v>0</v>
      </c>
      <c r="D2" s="23">
        <f>C2+1</f>
        <v>1</v>
      </c>
      <c r="E2" s="23">
        <f>D2+0</f>
        <v>1</v>
      </c>
      <c r="F2" s="23">
        <f>E2+0</f>
        <v>1</v>
      </c>
      <c r="G2" s="23">
        <f>F2+0</f>
        <v>1</v>
      </c>
      <c r="H2" s="23">
        <f>G2+0</f>
        <v>1</v>
      </c>
      <c r="I2" s="23">
        <f>H2+0</f>
        <v>1</v>
      </c>
      <c r="J2" s="23">
        <f>I2+2</f>
        <v>3</v>
      </c>
      <c r="K2" s="23">
        <f t="shared" ref="K2:L13" si="2">J2+0</f>
        <v>3</v>
      </c>
      <c r="L2" s="23">
        <f t="shared" si="2"/>
        <v>3</v>
      </c>
      <c r="M2" s="23">
        <f>L2+1</f>
        <v>4</v>
      </c>
      <c r="N2" s="23">
        <f t="shared" ref="N2:P3" si="3">M2+0</f>
        <v>4</v>
      </c>
      <c r="O2" s="23">
        <f t="shared" si="3"/>
        <v>4</v>
      </c>
      <c r="P2" s="23">
        <f t="shared" si="3"/>
        <v>4</v>
      </c>
      <c r="Q2" s="23">
        <f>P2+1</f>
        <v>5</v>
      </c>
      <c r="R2" s="23">
        <f t="shared" ref="R2:AK2" si="4">Q2+0</f>
        <v>5</v>
      </c>
      <c r="S2" s="23">
        <f t="shared" si="4"/>
        <v>5</v>
      </c>
      <c r="T2" s="23">
        <f t="shared" si="4"/>
        <v>5</v>
      </c>
      <c r="U2" s="23">
        <f t="shared" si="4"/>
        <v>5</v>
      </c>
      <c r="V2" s="23">
        <f t="shared" si="4"/>
        <v>5</v>
      </c>
      <c r="W2" s="23">
        <f t="shared" si="4"/>
        <v>5</v>
      </c>
      <c r="X2" s="23">
        <f t="shared" si="4"/>
        <v>5</v>
      </c>
      <c r="Y2" s="23">
        <f t="shared" si="4"/>
        <v>5</v>
      </c>
      <c r="Z2" s="23">
        <f t="shared" si="4"/>
        <v>5</v>
      </c>
      <c r="AA2" s="23">
        <f t="shared" si="4"/>
        <v>5</v>
      </c>
      <c r="AB2" s="23">
        <f t="shared" si="4"/>
        <v>5</v>
      </c>
      <c r="AC2" s="23">
        <f t="shared" si="4"/>
        <v>5</v>
      </c>
      <c r="AD2" s="23">
        <f t="shared" si="4"/>
        <v>5</v>
      </c>
      <c r="AE2" s="23">
        <f t="shared" si="4"/>
        <v>5</v>
      </c>
      <c r="AF2" s="23">
        <f t="shared" si="4"/>
        <v>5</v>
      </c>
      <c r="AG2" s="23">
        <f t="shared" si="4"/>
        <v>5</v>
      </c>
      <c r="AH2" s="23">
        <f t="shared" si="4"/>
        <v>5</v>
      </c>
      <c r="AI2" s="23">
        <f t="shared" si="4"/>
        <v>5</v>
      </c>
      <c r="AJ2" s="23">
        <f t="shared" si="4"/>
        <v>5</v>
      </c>
      <c r="AK2" s="23">
        <f t="shared" si="4"/>
        <v>5</v>
      </c>
      <c r="AL2" s="81">
        <v>18800</v>
      </c>
      <c r="AM2" s="4">
        <v>1</v>
      </c>
      <c r="AN2" s="15" t="s">
        <v>200</v>
      </c>
      <c r="AO2" s="15" t="s">
        <v>178</v>
      </c>
      <c r="AP2" s="15">
        <v>2005</v>
      </c>
      <c r="AQ2" s="15" t="s">
        <v>179</v>
      </c>
    </row>
    <row r="3" spans="1:44" x14ac:dyDescent="0.3">
      <c r="A3" s="1">
        <v>10</v>
      </c>
      <c r="B3" s="23">
        <v>0</v>
      </c>
      <c r="C3" s="23">
        <f t="shared" si="1"/>
        <v>0</v>
      </c>
      <c r="D3" s="23">
        <f>C3+0</f>
        <v>0</v>
      </c>
      <c r="E3" s="23">
        <f>D3+0</f>
        <v>0</v>
      </c>
      <c r="F3" s="23">
        <f>E3+7</f>
        <v>7</v>
      </c>
      <c r="G3" s="23">
        <f t="shared" ref="G3:I13" si="5">F3+0</f>
        <v>7</v>
      </c>
      <c r="H3" s="23">
        <f t="shared" si="5"/>
        <v>7</v>
      </c>
      <c r="I3" s="23">
        <f t="shared" si="5"/>
        <v>7</v>
      </c>
      <c r="J3" s="23">
        <f>I3+3</f>
        <v>10</v>
      </c>
      <c r="K3" s="23">
        <f t="shared" si="2"/>
        <v>10</v>
      </c>
      <c r="L3" s="23">
        <f t="shared" si="2"/>
        <v>10</v>
      </c>
      <c r="M3" s="23">
        <f>L3+0</f>
        <v>10</v>
      </c>
      <c r="N3" s="23">
        <f t="shared" si="3"/>
        <v>10</v>
      </c>
      <c r="O3" s="23">
        <f t="shared" si="3"/>
        <v>10</v>
      </c>
      <c r="P3" s="23">
        <f t="shared" si="3"/>
        <v>10</v>
      </c>
      <c r="Q3" s="23">
        <f t="shared" ref="Q3:AA3" si="6">P3+0</f>
        <v>10</v>
      </c>
      <c r="R3" s="23">
        <f t="shared" si="6"/>
        <v>10</v>
      </c>
      <c r="S3" s="23">
        <f t="shared" si="6"/>
        <v>10</v>
      </c>
      <c r="T3" s="23">
        <f t="shared" si="6"/>
        <v>10</v>
      </c>
      <c r="U3" s="23">
        <f t="shared" si="6"/>
        <v>10</v>
      </c>
      <c r="V3" s="23">
        <f t="shared" si="6"/>
        <v>10</v>
      </c>
      <c r="W3" s="23">
        <f t="shared" si="6"/>
        <v>10</v>
      </c>
      <c r="X3" s="23">
        <f t="shared" si="6"/>
        <v>10</v>
      </c>
      <c r="Y3" s="23">
        <f t="shared" si="6"/>
        <v>10</v>
      </c>
      <c r="Z3" s="23">
        <f t="shared" si="6"/>
        <v>10</v>
      </c>
      <c r="AA3" s="23">
        <f t="shared" si="6"/>
        <v>10</v>
      </c>
      <c r="AB3" s="23">
        <f>AA3</f>
        <v>10</v>
      </c>
      <c r="AC3" s="23">
        <f t="shared" ref="AC3:AK3" si="7">AB3+0</f>
        <v>10</v>
      </c>
      <c r="AD3" s="23">
        <f t="shared" si="7"/>
        <v>10</v>
      </c>
      <c r="AE3" s="23">
        <f t="shared" si="7"/>
        <v>10</v>
      </c>
      <c r="AF3" s="23">
        <f t="shared" si="7"/>
        <v>10</v>
      </c>
      <c r="AG3" s="23">
        <f t="shared" si="7"/>
        <v>10</v>
      </c>
      <c r="AH3" s="23">
        <f t="shared" si="7"/>
        <v>10</v>
      </c>
      <c r="AI3" s="23">
        <f t="shared" si="7"/>
        <v>10</v>
      </c>
      <c r="AJ3" s="23">
        <f t="shared" si="7"/>
        <v>10</v>
      </c>
      <c r="AK3" s="23">
        <f t="shared" si="7"/>
        <v>10</v>
      </c>
      <c r="AL3" s="15">
        <v>23360</v>
      </c>
      <c r="AM3" s="4">
        <v>1</v>
      </c>
      <c r="AN3" s="15" t="s">
        <v>180</v>
      </c>
      <c r="AO3" s="15" t="s">
        <v>178</v>
      </c>
      <c r="AP3" s="15">
        <v>2005</v>
      </c>
      <c r="AQ3" s="15" t="s">
        <v>179</v>
      </c>
    </row>
    <row r="4" spans="1:44" x14ac:dyDescent="0.3">
      <c r="A4" s="1">
        <v>83</v>
      </c>
      <c r="B4" s="23">
        <v>0</v>
      </c>
      <c r="C4" s="23">
        <f t="shared" si="1"/>
        <v>0</v>
      </c>
      <c r="D4" s="23">
        <f>C4+1</f>
        <v>1</v>
      </c>
      <c r="E4" s="23">
        <f t="shared" ref="E4:E14" si="8">D4+0</f>
        <v>1</v>
      </c>
      <c r="F4" s="23">
        <f>E4+36</f>
        <v>37</v>
      </c>
      <c r="G4" s="23">
        <f t="shared" si="5"/>
        <v>37</v>
      </c>
      <c r="H4" s="23">
        <f t="shared" si="5"/>
        <v>37</v>
      </c>
      <c r="I4" s="23">
        <f t="shared" si="5"/>
        <v>37</v>
      </c>
      <c r="J4" s="23">
        <f>I4+23</f>
        <v>60</v>
      </c>
      <c r="K4" s="23">
        <f t="shared" si="2"/>
        <v>60</v>
      </c>
      <c r="L4" s="23">
        <f t="shared" si="2"/>
        <v>60</v>
      </c>
      <c r="M4" s="23">
        <f>L4+0</f>
        <v>60</v>
      </c>
      <c r="N4" s="23">
        <f>M4+6</f>
        <v>66</v>
      </c>
      <c r="O4" s="23">
        <f t="shared" ref="O4:P13" si="9">N4+0</f>
        <v>66</v>
      </c>
      <c r="P4" s="23">
        <f t="shared" si="9"/>
        <v>66</v>
      </c>
      <c r="Q4" s="23">
        <f>P4+6</f>
        <v>72</v>
      </c>
      <c r="R4" s="23">
        <f t="shared" ref="R4:T20" si="10">Q4+0</f>
        <v>72</v>
      </c>
      <c r="S4" s="23">
        <f t="shared" si="10"/>
        <v>72</v>
      </c>
      <c r="T4" s="23">
        <f t="shared" si="10"/>
        <v>72</v>
      </c>
      <c r="U4" s="23">
        <f>T4+7</f>
        <v>79</v>
      </c>
      <c r="V4" s="23">
        <f t="shared" ref="V4:W7" si="11">U4+0</f>
        <v>79</v>
      </c>
      <c r="W4" s="23">
        <f t="shared" si="11"/>
        <v>79</v>
      </c>
      <c r="X4" s="23">
        <f>W4+2</f>
        <v>81</v>
      </c>
      <c r="Y4" s="23">
        <f t="shared" ref="Y4:AA34" si="12">X4+0</f>
        <v>81</v>
      </c>
      <c r="Z4" s="23">
        <f t="shared" si="12"/>
        <v>81</v>
      </c>
      <c r="AA4" s="23">
        <f t="shared" si="12"/>
        <v>81</v>
      </c>
      <c r="AB4" s="23">
        <f>AA4+2</f>
        <v>83</v>
      </c>
      <c r="AC4" s="23">
        <f t="shared" ref="AC4:AK4" si="13">AB4+0</f>
        <v>83</v>
      </c>
      <c r="AD4" s="23">
        <f t="shared" si="13"/>
        <v>83</v>
      </c>
      <c r="AE4" s="23">
        <f t="shared" si="13"/>
        <v>83</v>
      </c>
      <c r="AF4" s="23">
        <f t="shared" si="13"/>
        <v>83</v>
      </c>
      <c r="AG4" s="23">
        <f t="shared" si="13"/>
        <v>83</v>
      </c>
      <c r="AH4" s="23">
        <f t="shared" si="13"/>
        <v>83</v>
      </c>
      <c r="AI4" s="23">
        <f t="shared" si="13"/>
        <v>83</v>
      </c>
      <c r="AJ4" s="23">
        <f t="shared" si="13"/>
        <v>83</v>
      </c>
      <c r="AK4" s="23">
        <f t="shared" si="13"/>
        <v>83</v>
      </c>
      <c r="AL4" s="15">
        <v>23360</v>
      </c>
      <c r="AM4" s="4">
        <v>1</v>
      </c>
      <c r="AN4" s="15" t="s">
        <v>177</v>
      </c>
      <c r="AO4" s="15" t="s">
        <v>178</v>
      </c>
      <c r="AP4" s="15">
        <v>2005</v>
      </c>
      <c r="AQ4" s="15" t="s">
        <v>179</v>
      </c>
    </row>
    <row r="5" spans="1:44" x14ac:dyDescent="0.3">
      <c r="A5" s="1">
        <v>7</v>
      </c>
      <c r="B5" s="23">
        <v>0</v>
      </c>
      <c r="C5" s="23">
        <f t="shared" si="1"/>
        <v>0</v>
      </c>
      <c r="D5" s="23">
        <f t="shared" ref="D5:D14" si="14">C5+0</f>
        <v>0</v>
      </c>
      <c r="E5" s="23">
        <f t="shared" si="8"/>
        <v>0</v>
      </c>
      <c r="F5" s="23">
        <f>E5+1</f>
        <v>1</v>
      </c>
      <c r="G5" s="23">
        <f t="shared" si="5"/>
        <v>1</v>
      </c>
      <c r="H5" s="23">
        <f t="shared" si="5"/>
        <v>1</v>
      </c>
      <c r="I5" s="23">
        <f t="shared" si="5"/>
        <v>1</v>
      </c>
      <c r="J5" s="23">
        <f>I5+4</f>
        <v>5</v>
      </c>
      <c r="K5" s="23">
        <f t="shared" si="2"/>
        <v>5</v>
      </c>
      <c r="L5" s="23">
        <f t="shared" si="2"/>
        <v>5</v>
      </c>
      <c r="M5" s="23">
        <f>L5+1</f>
        <v>6</v>
      </c>
      <c r="N5" s="23">
        <f>M5+0</f>
        <v>6</v>
      </c>
      <c r="O5" s="23">
        <f t="shared" si="9"/>
        <v>6</v>
      </c>
      <c r="P5" s="23">
        <f t="shared" si="9"/>
        <v>6</v>
      </c>
      <c r="Q5" s="23">
        <f>P5+1</f>
        <v>7</v>
      </c>
      <c r="R5" s="23">
        <f t="shared" si="10"/>
        <v>7</v>
      </c>
      <c r="S5" s="23">
        <f t="shared" si="10"/>
        <v>7</v>
      </c>
      <c r="T5" s="23">
        <f t="shared" si="10"/>
        <v>7</v>
      </c>
      <c r="U5" s="23">
        <f>T5+0</f>
        <v>7</v>
      </c>
      <c r="V5" s="23">
        <f t="shared" si="11"/>
        <v>7</v>
      </c>
      <c r="W5" s="23">
        <f t="shared" si="11"/>
        <v>7</v>
      </c>
      <c r="X5" s="23">
        <f>W5+0</f>
        <v>7</v>
      </c>
      <c r="Y5" s="23">
        <f t="shared" si="12"/>
        <v>7</v>
      </c>
      <c r="Z5" s="23">
        <f t="shared" si="12"/>
        <v>7</v>
      </c>
      <c r="AA5" s="23">
        <f t="shared" si="12"/>
        <v>7</v>
      </c>
      <c r="AB5" s="23">
        <f>AA5+0</f>
        <v>7</v>
      </c>
      <c r="AC5" s="23">
        <f t="shared" ref="AC5:AK5" si="15">AB5+0</f>
        <v>7</v>
      </c>
      <c r="AD5" s="23">
        <f t="shared" si="15"/>
        <v>7</v>
      </c>
      <c r="AE5" s="23">
        <f t="shared" si="15"/>
        <v>7</v>
      </c>
      <c r="AF5" s="23">
        <f t="shared" si="15"/>
        <v>7</v>
      </c>
      <c r="AG5" s="23">
        <f t="shared" si="15"/>
        <v>7</v>
      </c>
      <c r="AH5" s="23">
        <f t="shared" si="15"/>
        <v>7</v>
      </c>
      <c r="AI5" s="23">
        <f t="shared" si="15"/>
        <v>7</v>
      </c>
      <c r="AJ5" s="23">
        <f t="shared" si="15"/>
        <v>7</v>
      </c>
      <c r="AK5" s="23">
        <f t="shared" si="15"/>
        <v>7</v>
      </c>
      <c r="AL5" s="15">
        <v>18800</v>
      </c>
      <c r="AM5" s="4">
        <v>3</v>
      </c>
      <c r="AN5" s="15" t="s">
        <v>201</v>
      </c>
      <c r="AO5" s="15" t="s">
        <v>178</v>
      </c>
      <c r="AP5" s="15">
        <v>2005</v>
      </c>
      <c r="AQ5" s="15" t="s">
        <v>179</v>
      </c>
    </row>
    <row r="6" spans="1:44" x14ac:dyDescent="0.3">
      <c r="A6" s="1">
        <v>13</v>
      </c>
      <c r="B6" s="23">
        <v>0</v>
      </c>
      <c r="C6" s="23">
        <f t="shared" si="1"/>
        <v>0</v>
      </c>
      <c r="D6" s="23">
        <f t="shared" si="14"/>
        <v>0</v>
      </c>
      <c r="E6" s="23">
        <f t="shared" si="8"/>
        <v>0</v>
      </c>
      <c r="F6" s="23">
        <f>E6+8</f>
        <v>8</v>
      </c>
      <c r="G6" s="23">
        <f t="shared" si="5"/>
        <v>8</v>
      </c>
      <c r="H6" s="23">
        <f t="shared" si="5"/>
        <v>8</v>
      </c>
      <c r="I6" s="23">
        <f t="shared" si="5"/>
        <v>8</v>
      </c>
      <c r="J6" s="23">
        <f>I6+3</f>
        <v>11</v>
      </c>
      <c r="K6" s="23">
        <f t="shared" si="2"/>
        <v>11</v>
      </c>
      <c r="L6" s="23">
        <f t="shared" si="2"/>
        <v>11</v>
      </c>
      <c r="M6" s="23">
        <f>L6+0</f>
        <v>11</v>
      </c>
      <c r="N6" s="23">
        <f>M6+1</f>
        <v>12</v>
      </c>
      <c r="O6" s="23">
        <f t="shared" si="9"/>
        <v>12</v>
      </c>
      <c r="P6" s="23">
        <f t="shared" si="9"/>
        <v>12</v>
      </c>
      <c r="Q6" s="23">
        <f>P6+0</f>
        <v>12</v>
      </c>
      <c r="R6" s="23">
        <f t="shared" si="10"/>
        <v>12</v>
      </c>
      <c r="S6" s="23">
        <f t="shared" si="10"/>
        <v>12</v>
      </c>
      <c r="T6" s="23">
        <f t="shared" si="10"/>
        <v>12</v>
      </c>
      <c r="U6" s="23">
        <f>T6+0</f>
        <v>12</v>
      </c>
      <c r="V6" s="23">
        <f t="shared" si="11"/>
        <v>12</v>
      </c>
      <c r="W6" s="23">
        <f t="shared" si="11"/>
        <v>12</v>
      </c>
      <c r="X6" s="23">
        <f>W6+0</f>
        <v>12</v>
      </c>
      <c r="Y6" s="23">
        <f t="shared" si="12"/>
        <v>12</v>
      </c>
      <c r="Z6" s="23">
        <f t="shared" si="12"/>
        <v>12</v>
      </c>
      <c r="AA6" s="23">
        <f t="shared" si="12"/>
        <v>12</v>
      </c>
      <c r="AB6" s="23">
        <f>AA6+1</f>
        <v>13</v>
      </c>
      <c r="AC6" s="23">
        <f t="shared" ref="AC6:AK6" si="16">AB6+0</f>
        <v>13</v>
      </c>
      <c r="AD6" s="23">
        <f t="shared" si="16"/>
        <v>13</v>
      </c>
      <c r="AE6" s="23">
        <f t="shared" si="16"/>
        <v>13</v>
      </c>
      <c r="AF6" s="23">
        <f t="shared" si="16"/>
        <v>13</v>
      </c>
      <c r="AG6" s="23">
        <f t="shared" si="16"/>
        <v>13</v>
      </c>
      <c r="AH6" s="23">
        <f t="shared" si="16"/>
        <v>13</v>
      </c>
      <c r="AI6" s="23">
        <f t="shared" si="16"/>
        <v>13</v>
      </c>
      <c r="AJ6" s="23">
        <f t="shared" si="16"/>
        <v>13</v>
      </c>
      <c r="AK6" s="23">
        <f t="shared" si="16"/>
        <v>13</v>
      </c>
      <c r="AL6" s="15">
        <v>23360</v>
      </c>
      <c r="AM6" s="4">
        <v>3</v>
      </c>
      <c r="AN6" s="15" t="s">
        <v>189</v>
      </c>
      <c r="AO6" s="15" t="s">
        <v>178</v>
      </c>
      <c r="AP6" s="15">
        <v>2005</v>
      </c>
      <c r="AQ6" s="15" t="s">
        <v>179</v>
      </c>
    </row>
    <row r="7" spans="1:44" x14ac:dyDescent="0.3">
      <c r="A7" s="1">
        <v>86</v>
      </c>
      <c r="B7" s="23">
        <v>0</v>
      </c>
      <c r="C7" s="23">
        <f t="shared" si="1"/>
        <v>0</v>
      </c>
      <c r="D7" s="23">
        <f t="shared" si="14"/>
        <v>0</v>
      </c>
      <c r="E7" s="23">
        <f t="shared" si="8"/>
        <v>0</v>
      </c>
      <c r="F7" s="23">
        <f>E7+8</f>
        <v>8</v>
      </c>
      <c r="G7" s="23">
        <f t="shared" si="5"/>
        <v>8</v>
      </c>
      <c r="H7" s="23">
        <f t="shared" si="5"/>
        <v>8</v>
      </c>
      <c r="I7" s="23">
        <f t="shared" si="5"/>
        <v>8</v>
      </c>
      <c r="J7" s="23">
        <f>I7+28</f>
        <v>36</v>
      </c>
      <c r="K7" s="23">
        <f t="shared" si="2"/>
        <v>36</v>
      </c>
      <c r="L7" s="23">
        <f t="shared" si="2"/>
        <v>36</v>
      </c>
      <c r="M7" s="23">
        <f>L7+0</f>
        <v>36</v>
      </c>
      <c r="N7" s="23">
        <f>M7+12</f>
        <v>48</v>
      </c>
      <c r="O7" s="23">
        <f t="shared" si="9"/>
        <v>48</v>
      </c>
      <c r="P7" s="23">
        <f t="shared" si="9"/>
        <v>48</v>
      </c>
      <c r="Q7" s="23">
        <f>P7+16</f>
        <v>64</v>
      </c>
      <c r="R7" s="23">
        <f t="shared" si="10"/>
        <v>64</v>
      </c>
      <c r="S7" s="23">
        <f t="shared" si="10"/>
        <v>64</v>
      </c>
      <c r="T7" s="23">
        <f t="shared" si="10"/>
        <v>64</v>
      </c>
      <c r="U7" s="23">
        <f>T7+9</f>
        <v>73</v>
      </c>
      <c r="V7" s="23">
        <f t="shared" si="11"/>
        <v>73</v>
      </c>
      <c r="W7" s="23">
        <f t="shared" si="11"/>
        <v>73</v>
      </c>
      <c r="X7" s="23">
        <f>W7+4</f>
        <v>77</v>
      </c>
      <c r="Y7" s="23">
        <f t="shared" si="12"/>
        <v>77</v>
      </c>
      <c r="Z7" s="23">
        <f t="shared" si="12"/>
        <v>77</v>
      </c>
      <c r="AA7" s="23">
        <f t="shared" si="12"/>
        <v>77</v>
      </c>
      <c r="AB7" s="23">
        <f>AA7+3</f>
        <v>80</v>
      </c>
      <c r="AC7" s="23">
        <f t="shared" ref="AC7:AF24" si="17">AB7+0</f>
        <v>80</v>
      </c>
      <c r="AD7" s="23">
        <f t="shared" si="17"/>
        <v>80</v>
      </c>
      <c r="AE7" s="23">
        <f t="shared" si="17"/>
        <v>80</v>
      </c>
      <c r="AF7" s="23">
        <f t="shared" si="17"/>
        <v>80</v>
      </c>
      <c r="AG7" s="23">
        <f>AF7+6</f>
        <v>86</v>
      </c>
      <c r="AH7" s="23">
        <f t="shared" ref="AH7:AK34" si="18">AG7+0</f>
        <v>86</v>
      </c>
      <c r="AI7" s="23">
        <f t="shared" si="18"/>
        <v>86</v>
      </c>
      <c r="AJ7" s="23">
        <f t="shared" si="18"/>
        <v>86</v>
      </c>
      <c r="AK7" s="23">
        <f t="shared" si="18"/>
        <v>86</v>
      </c>
      <c r="AL7" s="81">
        <v>23360</v>
      </c>
      <c r="AM7" s="4">
        <v>3</v>
      </c>
      <c r="AN7" s="15" t="s">
        <v>188</v>
      </c>
      <c r="AO7" s="15" t="s">
        <v>178</v>
      </c>
      <c r="AP7" s="15">
        <v>2005</v>
      </c>
      <c r="AQ7" s="15" t="s">
        <v>179</v>
      </c>
    </row>
    <row r="8" spans="1:44" x14ac:dyDescent="0.3">
      <c r="A8" s="1">
        <v>65</v>
      </c>
      <c r="B8" s="23">
        <v>0</v>
      </c>
      <c r="C8" s="23">
        <f t="shared" si="1"/>
        <v>0</v>
      </c>
      <c r="D8" s="23">
        <f t="shared" si="14"/>
        <v>0</v>
      </c>
      <c r="E8" s="23">
        <f t="shared" si="8"/>
        <v>0</v>
      </c>
      <c r="F8" s="23">
        <f>E8+3.4</f>
        <v>3.4</v>
      </c>
      <c r="G8" s="23">
        <f t="shared" si="5"/>
        <v>3.4</v>
      </c>
      <c r="H8" s="23">
        <f t="shared" si="5"/>
        <v>3.4</v>
      </c>
      <c r="I8" s="23">
        <f t="shared" si="5"/>
        <v>3.4</v>
      </c>
      <c r="J8" s="23">
        <f>I8+7.5</f>
        <v>10.9</v>
      </c>
      <c r="K8" s="23">
        <f t="shared" si="2"/>
        <v>10.9</v>
      </c>
      <c r="L8" s="23">
        <f t="shared" si="2"/>
        <v>10.9</v>
      </c>
      <c r="M8" s="23">
        <f>L8+20.4</f>
        <v>31.299999999999997</v>
      </c>
      <c r="N8" s="23">
        <f t="shared" ref="N8:N39" si="19">M8+0</f>
        <v>31.299999999999997</v>
      </c>
      <c r="O8" s="23">
        <f t="shared" si="9"/>
        <v>31.299999999999997</v>
      </c>
      <c r="P8" s="23">
        <f t="shared" si="9"/>
        <v>31.299999999999997</v>
      </c>
      <c r="Q8" s="23">
        <f>P8+11.1</f>
        <v>42.4</v>
      </c>
      <c r="R8" s="23">
        <f t="shared" si="10"/>
        <v>42.4</v>
      </c>
      <c r="S8" s="23">
        <f t="shared" si="10"/>
        <v>42.4</v>
      </c>
      <c r="T8" s="23">
        <f t="shared" si="10"/>
        <v>42.4</v>
      </c>
      <c r="U8" s="23">
        <f t="shared" ref="U8:U35" si="20">T8+0</f>
        <v>42.4</v>
      </c>
      <c r="V8" s="23">
        <f>U8+29.8</f>
        <v>72.2</v>
      </c>
      <c r="W8" s="23">
        <f t="shared" ref="W8:X24" si="21">V8+0</f>
        <v>72.2</v>
      </c>
      <c r="X8" s="23">
        <f t="shared" si="21"/>
        <v>72.2</v>
      </c>
      <c r="Y8" s="23">
        <f t="shared" si="12"/>
        <v>72.2</v>
      </c>
      <c r="Z8" s="23">
        <f t="shared" si="12"/>
        <v>72.2</v>
      </c>
      <c r="AA8" s="23">
        <f t="shared" si="12"/>
        <v>72.2</v>
      </c>
      <c r="AB8" s="23">
        <f t="shared" ref="AB8:AB39" si="22">AA8+0</f>
        <v>72.2</v>
      </c>
      <c r="AC8" s="23">
        <f t="shared" si="17"/>
        <v>72.2</v>
      </c>
      <c r="AD8" s="23">
        <f t="shared" si="17"/>
        <v>72.2</v>
      </c>
      <c r="AE8" s="23">
        <f t="shared" si="17"/>
        <v>72.2</v>
      </c>
      <c r="AF8" s="23">
        <f t="shared" si="17"/>
        <v>72.2</v>
      </c>
      <c r="AG8" s="23">
        <f t="shared" ref="AG8:AG34" si="23">AF8+0</f>
        <v>72.2</v>
      </c>
      <c r="AH8" s="23">
        <f t="shared" si="18"/>
        <v>72.2</v>
      </c>
      <c r="AI8" s="23">
        <f t="shared" si="18"/>
        <v>72.2</v>
      </c>
      <c r="AJ8" s="23">
        <f t="shared" si="18"/>
        <v>72.2</v>
      </c>
      <c r="AK8" s="23">
        <f t="shared" si="18"/>
        <v>72.2</v>
      </c>
      <c r="AL8" s="81">
        <v>365</v>
      </c>
      <c r="AM8" s="4">
        <v>1</v>
      </c>
      <c r="AN8" s="15" t="s">
        <v>482</v>
      </c>
      <c r="AO8" s="15" t="s">
        <v>480</v>
      </c>
      <c r="AP8" s="15">
        <v>1967</v>
      </c>
      <c r="AQ8" s="15" t="s">
        <v>481</v>
      </c>
    </row>
    <row r="9" spans="1:44" x14ac:dyDescent="0.3">
      <c r="A9" s="1">
        <v>24</v>
      </c>
      <c r="B9" s="23">
        <v>0</v>
      </c>
      <c r="C9" s="23">
        <f t="shared" si="1"/>
        <v>0</v>
      </c>
      <c r="D9" s="23">
        <f t="shared" si="14"/>
        <v>0</v>
      </c>
      <c r="E9" s="23">
        <f t="shared" si="8"/>
        <v>0</v>
      </c>
      <c r="F9" s="23">
        <f>E9+6.2</f>
        <v>6.2</v>
      </c>
      <c r="G9" s="23">
        <f t="shared" si="5"/>
        <v>6.2</v>
      </c>
      <c r="H9" s="23">
        <f t="shared" si="5"/>
        <v>6.2</v>
      </c>
      <c r="I9" s="23">
        <f t="shared" si="5"/>
        <v>6.2</v>
      </c>
      <c r="J9" s="23">
        <f>I9+0</f>
        <v>6.2</v>
      </c>
      <c r="K9" s="23">
        <f t="shared" si="2"/>
        <v>6.2</v>
      </c>
      <c r="L9" s="23">
        <f t="shared" si="2"/>
        <v>6.2</v>
      </c>
      <c r="M9" s="23">
        <f>L9+0</f>
        <v>6.2</v>
      </c>
      <c r="N9" s="23">
        <f t="shared" si="19"/>
        <v>6.2</v>
      </c>
      <c r="O9" s="23">
        <f t="shared" si="9"/>
        <v>6.2</v>
      </c>
      <c r="P9" s="23">
        <f t="shared" si="9"/>
        <v>6.2</v>
      </c>
      <c r="Q9" s="23">
        <f>P9+2.7</f>
        <v>8.9</v>
      </c>
      <c r="R9" s="23">
        <f t="shared" si="10"/>
        <v>8.9</v>
      </c>
      <c r="S9" s="23">
        <f t="shared" si="10"/>
        <v>8.9</v>
      </c>
      <c r="T9" s="23">
        <f t="shared" si="10"/>
        <v>8.9</v>
      </c>
      <c r="U9" s="23">
        <f t="shared" si="20"/>
        <v>8.9</v>
      </c>
      <c r="V9" s="23">
        <f>U9+14.1</f>
        <v>23</v>
      </c>
      <c r="W9" s="23">
        <f t="shared" si="21"/>
        <v>23</v>
      </c>
      <c r="X9" s="23">
        <f t="shared" si="21"/>
        <v>23</v>
      </c>
      <c r="Y9" s="23">
        <f t="shared" si="12"/>
        <v>23</v>
      </c>
      <c r="Z9" s="23">
        <f t="shared" si="12"/>
        <v>23</v>
      </c>
      <c r="AA9" s="23">
        <f t="shared" si="12"/>
        <v>23</v>
      </c>
      <c r="AB9" s="23">
        <f t="shared" si="22"/>
        <v>23</v>
      </c>
      <c r="AC9" s="23">
        <f t="shared" si="17"/>
        <v>23</v>
      </c>
      <c r="AD9" s="23">
        <f t="shared" si="17"/>
        <v>23</v>
      </c>
      <c r="AE9" s="23">
        <f t="shared" si="17"/>
        <v>23</v>
      </c>
      <c r="AF9" s="23">
        <f t="shared" si="17"/>
        <v>23</v>
      </c>
      <c r="AG9" s="23">
        <f t="shared" si="23"/>
        <v>23</v>
      </c>
      <c r="AH9" s="23">
        <f t="shared" si="18"/>
        <v>23</v>
      </c>
      <c r="AI9" s="23">
        <f t="shared" si="18"/>
        <v>23</v>
      </c>
      <c r="AJ9" s="23">
        <f t="shared" si="18"/>
        <v>23</v>
      </c>
      <c r="AK9" s="23">
        <f t="shared" si="18"/>
        <v>23</v>
      </c>
      <c r="AL9" s="81">
        <v>365</v>
      </c>
      <c r="AM9" s="4">
        <v>1</v>
      </c>
      <c r="AN9" s="15" t="s">
        <v>483</v>
      </c>
      <c r="AO9" s="15" t="s">
        <v>480</v>
      </c>
      <c r="AP9" s="15">
        <v>1967</v>
      </c>
      <c r="AQ9" s="15" t="s">
        <v>481</v>
      </c>
    </row>
    <row r="10" spans="1:44" x14ac:dyDescent="0.3">
      <c r="A10" s="1">
        <v>66</v>
      </c>
      <c r="B10" s="23">
        <v>0</v>
      </c>
      <c r="C10" s="23">
        <f t="shared" si="1"/>
        <v>0</v>
      </c>
      <c r="D10" s="23">
        <f t="shared" si="14"/>
        <v>0</v>
      </c>
      <c r="E10" s="23">
        <f t="shared" si="8"/>
        <v>0</v>
      </c>
      <c r="F10" s="23">
        <f>E10+4.2</f>
        <v>4.2</v>
      </c>
      <c r="G10" s="23">
        <f t="shared" si="5"/>
        <v>4.2</v>
      </c>
      <c r="H10" s="23">
        <f t="shared" si="5"/>
        <v>4.2</v>
      </c>
      <c r="I10" s="23">
        <f t="shared" si="5"/>
        <v>4.2</v>
      </c>
      <c r="J10" s="23">
        <f>I10+9.5</f>
        <v>13.7</v>
      </c>
      <c r="K10" s="23">
        <f t="shared" si="2"/>
        <v>13.7</v>
      </c>
      <c r="L10" s="23">
        <f t="shared" si="2"/>
        <v>13.7</v>
      </c>
      <c r="M10" s="23">
        <f>L10+10.3</f>
        <v>24</v>
      </c>
      <c r="N10" s="23">
        <f t="shared" si="19"/>
        <v>24</v>
      </c>
      <c r="O10" s="23">
        <f t="shared" si="9"/>
        <v>24</v>
      </c>
      <c r="P10" s="23">
        <f t="shared" si="9"/>
        <v>24</v>
      </c>
      <c r="Q10" s="23">
        <f>P10+17.5</f>
        <v>41.5</v>
      </c>
      <c r="R10" s="23">
        <f t="shared" si="10"/>
        <v>41.5</v>
      </c>
      <c r="S10" s="23">
        <f t="shared" si="10"/>
        <v>41.5</v>
      </c>
      <c r="T10" s="23">
        <f t="shared" si="10"/>
        <v>41.5</v>
      </c>
      <c r="U10" s="23">
        <f t="shared" si="20"/>
        <v>41.5</v>
      </c>
      <c r="V10" s="23">
        <f>U10+46.5</f>
        <v>88</v>
      </c>
      <c r="W10" s="23">
        <f t="shared" si="21"/>
        <v>88</v>
      </c>
      <c r="X10" s="23">
        <f t="shared" si="21"/>
        <v>88</v>
      </c>
      <c r="Y10" s="23">
        <f t="shared" si="12"/>
        <v>88</v>
      </c>
      <c r="Z10" s="23">
        <f t="shared" si="12"/>
        <v>88</v>
      </c>
      <c r="AA10" s="23">
        <f t="shared" si="12"/>
        <v>88</v>
      </c>
      <c r="AB10" s="23">
        <f t="shared" si="22"/>
        <v>88</v>
      </c>
      <c r="AC10" s="23">
        <f t="shared" si="17"/>
        <v>88</v>
      </c>
      <c r="AD10" s="23">
        <f t="shared" si="17"/>
        <v>88</v>
      </c>
      <c r="AE10" s="23">
        <f t="shared" si="17"/>
        <v>88</v>
      </c>
      <c r="AF10" s="23">
        <f t="shared" si="17"/>
        <v>88</v>
      </c>
      <c r="AG10" s="23">
        <f t="shared" si="23"/>
        <v>88</v>
      </c>
      <c r="AH10" s="23">
        <f t="shared" si="18"/>
        <v>88</v>
      </c>
      <c r="AI10" s="23">
        <f t="shared" si="18"/>
        <v>88</v>
      </c>
      <c r="AJ10" s="23">
        <f t="shared" si="18"/>
        <v>88</v>
      </c>
      <c r="AK10" s="23">
        <f t="shared" si="18"/>
        <v>88</v>
      </c>
      <c r="AL10" s="81">
        <v>365</v>
      </c>
      <c r="AM10" s="4">
        <v>2</v>
      </c>
      <c r="AN10" s="15" t="s">
        <v>484</v>
      </c>
      <c r="AO10" s="15" t="s">
        <v>480</v>
      </c>
      <c r="AP10" s="15">
        <v>1967</v>
      </c>
      <c r="AQ10" s="15" t="s">
        <v>481</v>
      </c>
    </row>
    <row r="11" spans="1:44" x14ac:dyDescent="0.3">
      <c r="A11" s="1">
        <v>54</v>
      </c>
      <c r="B11" s="23">
        <v>0</v>
      </c>
      <c r="C11" s="23">
        <f t="shared" si="1"/>
        <v>0</v>
      </c>
      <c r="D11" s="23">
        <f t="shared" si="14"/>
        <v>0</v>
      </c>
      <c r="E11" s="23">
        <f t="shared" si="8"/>
        <v>0</v>
      </c>
      <c r="F11" s="23">
        <f>E11+0</f>
        <v>0</v>
      </c>
      <c r="G11" s="23">
        <f t="shared" si="5"/>
        <v>0</v>
      </c>
      <c r="H11" s="23">
        <f t="shared" si="5"/>
        <v>0</v>
      </c>
      <c r="I11" s="23">
        <f t="shared" si="5"/>
        <v>0</v>
      </c>
      <c r="J11" s="23">
        <f>I11+13.2</f>
        <v>13.2</v>
      </c>
      <c r="K11" s="23">
        <f t="shared" si="2"/>
        <v>13.2</v>
      </c>
      <c r="L11" s="23">
        <f t="shared" si="2"/>
        <v>13.2</v>
      </c>
      <c r="M11" s="23">
        <f>L11+8.8</f>
        <v>22</v>
      </c>
      <c r="N11" s="23">
        <f t="shared" si="19"/>
        <v>22</v>
      </c>
      <c r="O11" s="23">
        <f t="shared" si="9"/>
        <v>22</v>
      </c>
      <c r="P11" s="23">
        <f t="shared" si="9"/>
        <v>22</v>
      </c>
      <c r="Q11" s="23">
        <f>P11+6</f>
        <v>28</v>
      </c>
      <c r="R11" s="23">
        <f t="shared" si="10"/>
        <v>28</v>
      </c>
      <c r="S11" s="23">
        <f t="shared" si="10"/>
        <v>28</v>
      </c>
      <c r="T11" s="23">
        <f t="shared" si="10"/>
        <v>28</v>
      </c>
      <c r="U11" s="23">
        <f t="shared" si="20"/>
        <v>28</v>
      </c>
      <c r="V11" s="23">
        <f>U11+23.9</f>
        <v>51.9</v>
      </c>
      <c r="W11" s="23">
        <f t="shared" si="21"/>
        <v>51.9</v>
      </c>
      <c r="X11" s="23">
        <f t="shared" si="21"/>
        <v>51.9</v>
      </c>
      <c r="Y11" s="23">
        <f t="shared" si="12"/>
        <v>51.9</v>
      </c>
      <c r="Z11" s="23">
        <f t="shared" si="12"/>
        <v>51.9</v>
      </c>
      <c r="AA11" s="23">
        <f t="shared" si="12"/>
        <v>51.9</v>
      </c>
      <c r="AB11" s="23">
        <f t="shared" si="22"/>
        <v>51.9</v>
      </c>
      <c r="AC11" s="23">
        <f t="shared" si="17"/>
        <v>51.9</v>
      </c>
      <c r="AD11" s="23">
        <f t="shared" si="17"/>
        <v>51.9</v>
      </c>
      <c r="AE11" s="23">
        <f t="shared" si="17"/>
        <v>51.9</v>
      </c>
      <c r="AF11" s="23">
        <f t="shared" si="17"/>
        <v>51.9</v>
      </c>
      <c r="AG11" s="23">
        <f t="shared" si="23"/>
        <v>51.9</v>
      </c>
      <c r="AH11" s="23">
        <f t="shared" si="18"/>
        <v>51.9</v>
      </c>
      <c r="AI11" s="23">
        <f t="shared" si="18"/>
        <v>51.9</v>
      </c>
      <c r="AJ11" s="23">
        <f t="shared" si="18"/>
        <v>51.9</v>
      </c>
      <c r="AK11" s="23">
        <f t="shared" si="18"/>
        <v>51.9</v>
      </c>
      <c r="AL11" s="81">
        <v>365</v>
      </c>
      <c r="AM11" s="4">
        <v>2</v>
      </c>
      <c r="AN11" s="15" t="s">
        <v>483</v>
      </c>
      <c r="AO11" s="15" t="s">
        <v>480</v>
      </c>
      <c r="AP11" s="15">
        <v>1967</v>
      </c>
      <c r="AQ11" s="15" t="s">
        <v>481</v>
      </c>
    </row>
    <row r="12" spans="1:44" x14ac:dyDescent="0.3">
      <c r="A12" s="1">
        <v>40</v>
      </c>
      <c r="B12" s="23">
        <v>0</v>
      </c>
      <c r="C12" s="23">
        <f t="shared" si="1"/>
        <v>0</v>
      </c>
      <c r="D12" s="23">
        <f t="shared" si="14"/>
        <v>0</v>
      </c>
      <c r="E12" s="23">
        <f t="shared" si="8"/>
        <v>0</v>
      </c>
      <c r="F12" s="23">
        <f>E12+3.6</f>
        <v>3.6</v>
      </c>
      <c r="G12" s="23">
        <f t="shared" si="5"/>
        <v>3.6</v>
      </c>
      <c r="H12" s="23">
        <f t="shared" si="5"/>
        <v>3.6</v>
      </c>
      <c r="I12" s="23">
        <f t="shared" si="5"/>
        <v>3.6</v>
      </c>
      <c r="J12" s="23">
        <f>I12+22.4</f>
        <v>26</v>
      </c>
      <c r="K12" s="23">
        <f t="shared" si="2"/>
        <v>26</v>
      </c>
      <c r="L12" s="23">
        <f t="shared" si="2"/>
        <v>26</v>
      </c>
      <c r="M12" s="23">
        <f>L12+10.6</f>
        <v>36.6</v>
      </c>
      <c r="N12" s="23">
        <f t="shared" si="19"/>
        <v>36.6</v>
      </c>
      <c r="O12" s="23">
        <f t="shared" si="9"/>
        <v>36.6</v>
      </c>
      <c r="P12" s="23">
        <f t="shared" si="9"/>
        <v>36.6</v>
      </c>
      <c r="Q12" s="23">
        <f>P12+7.4</f>
        <v>44</v>
      </c>
      <c r="R12" s="23">
        <f t="shared" si="10"/>
        <v>44</v>
      </c>
      <c r="S12" s="23">
        <f t="shared" si="10"/>
        <v>44</v>
      </c>
      <c r="T12" s="23">
        <f t="shared" si="10"/>
        <v>44</v>
      </c>
      <c r="U12" s="23">
        <f t="shared" si="20"/>
        <v>44</v>
      </c>
      <c r="V12" s="23">
        <f>U12+36</f>
        <v>80</v>
      </c>
      <c r="W12" s="23">
        <f t="shared" si="21"/>
        <v>80</v>
      </c>
      <c r="X12" s="23">
        <f t="shared" si="21"/>
        <v>80</v>
      </c>
      <c r="Y12" s="23">
        <f t="shared" si="12"/>
        <v>80</v>
      </c>
      <c r="Z12" s="23">
        <f t="shared" si="12"/>
        <v>80</v>
      </c>
      <c r="AA12" s="23">
        <f t="shared" si="12"/>
        <v>80</v>
      </c>
      <c r="AB12" s="23">
        <f t="shared" si="22"/>
        <v>80</v>
      </c>
      <c r="AC12" s="23">
        <f t="shared" si="17"/>
        <v>80</v>
      </c>
      <c r="AD12" s="23">
        <f t="shared" si="17"/>
        <v>80</v>
      </c>
      <c r="AE12" s="23">
        <f t="shared" si="17"/>
        <v>80</v>
      </c>
      <c r="AF12" s="23">
        <f t="shared" si="17"/>
        <v>80</v>
      </c>
      <c r="AG12" s="23">
        <f t="shared" si="23"/>
        <v>80</v>
      </c>
      <c r="AH12" s="23">
        <f t="shared" si="18"/>
        <v>80</v>
      </c>
      <c r="AI12" s="23">
        <f t="shared" si="18"/>
        <v>80</v>
      </c>
      <c r="AJ12" s="23">
        <f t="shared" si="18"/>
        <v>80</v>
      </c>
      <c r="AK12" s="23">
        <f t="shared" si="18"/>
        <v>80</v>
      </c>
      <c r="AL12" s="81">
        <v>365</v>
      </c>
      <c r="AM12" s="4">
        <v>3</v>
      </c>
      <c r="AN12" s="15" t="s">
        <v>485</v>
      </c>
      <c r="AO12" s="15" t="s">
        <v>480</v>
      </c>
      <c r="AP12" s="15">
        <v>1967</v>
      </c>
      <c r="AQ12" s="15" t="s">
        <v>481</v>
      </c>
    </row>
    <row r="13" spans="1:44" x14ac:dyDescent="0.3">
      <c r="A13" s="1">
        <v>40</v>
      </c>
      <c r="B13" s="23">
        <v>0</v>
      </c>
      <c r="C13" s="23">
        <f t="shared" si="1"/>
        <v>0</v>
      </c>
      <c r="D13" s="23">
        <f t="shared" si="14"/>
        <v>0</v>
      </c>
      <c r="E13" s="23">
        <f t="shared" si="8"/>
        <v>0</v>
      </c>
      <c r="F13" s="23">
        <f>E13+4.5</f>
        <v>4.5</v>
      </c>
      <c r="G13" s="23">
        <f t="shared" si="5"/>
        <v>4.5</v>
      </c>
      <c r="H13" s="23">
        <f t="shared" si="5"/>
        <v>4.5</v>
      </c>
      <c r="I13" s="23">
        <f t="shared" si="5"/>
        <v>4.5</v>
      </c>
      <c r="J13" s="23">
        <f t="shared" ref="J13:J32" si="24">I13+0</f>
        <v>4.5</v>
      </c>
      <c r="K13" s="23">
        <f t="shared" si="2"/>
        <v>4.5</v>
      </c>
      <c r="L13" s="23">
        <f t="shared" si="2"/>
        <v>4.5</v>
      </c>
      <c r="M13" s="23">
        <f>L13+4</f>
        <v>8.5</v>
      </c>
      <c r="N13" s="23">
        <f t="shared" si="19"/>
        <v>8.5</v>
      </c>
      <c r="O13" s="23">
        <f t="shared" si="9"/>
        <v>8.5</v>
      </c>
      <c r="P13" s="23">
        <f t="shared" si="9"/>
        <v>8.5</v>
      </c>
      <c r="Q13" s="23">
        <f t="shared" ref="Q13:Q44" si="25">P13+0</f>
        <v>8.5</v>
      </c>
      <c r="R13" s="23">
        <f t="shared" si="10"/>
        <v>8.5</v>
      </c>
      <c r="S13" s="23">
        <f t="shared" si="10"/>
        <v>8.5</v>
      </c>
      <c r="T13" s="23">
        <f t="shared" si="10"/>
        <v>8.5</v>
      </c>
      <c r="U13" s="23">
        <f t="shared" si="20"/>
        <v>8.5</v>
      </c>
      <c r="V13" s="23">
        <f>U13+30</f>
        <v>38.5</v>
      </c>
      <c r="W13" s="23">
        <f t="shared" si="21"/>
        <v>38.5</v>
      </c>
      <c r="X13" s="23">
        <f t="shared" si="21"/>
        <v>38.5</v>
      </c>
      <c r="Y13" s="23">
        <f t="shared" si="12"/>
        <v>38.5</v>
      </c>
      <c r="Z13" s="23">
        <f t="shared" si="12"/>
        <v>38.5</v>
      </c>
      <c r="AA13" s="23">
        <f t="shared" si="12"/>
        <v>38.5</v>
      </c>
      <c r="AB13" s="23">
        <f t="shared" si="22"/>
        <v>38.5</v>
      </c>
      <c r="AC13" s="23">
        <f t="shared" si="17"/>
        <v>38.5</v>
      </c>
      <c r="AD13" s="23">
        <f t="shared" si="17"/>
        <v>38.5</v>
      </c>
      <c r="AE13" s="23">
        <f t="shared" si="17"/>
        <v>38.5</v>
      </c>
      <c r="AF13" s="23">
        <f t="shared" si="17"/>
        <v>38.5</v>
      </c>
      <c r="AG13" s="23">
        <f t="shared" si="23"/>
        <v>38.5</v>
      </c>
      <c r="AH13" s="23">
        <f t="shared" si="18"/>
        <v>38.5</v>
      </c>
      <c r="AI13" s="23">
        <f t="shared" si="18"/>
        <v>38.5</v>
      </c>
      <c r="AJ13" s="23">
        <f t="shared" si="18"/>
        <v>38.5</v>
      </c>
      <c r="AK13" s="23">
        <f t="shared" si="18"/>
        <v>38.5</v>
      </c>
      <c r="AL13" s="81">
        <v>365</v>
      </c>
      <c r="AM13" s="4">
        <v>3</v>
      </c>
      <c r="AN13" s="15" t="s">
        <v>483</v>
      </c>
      <c r="AO13" s="15" t="s">
        <v>480</v>
      </c>
      <c r="AP13" s="15">
        <v>1967</v>
      </c>
      <c r="AQ13" s="15" t="s">
        <v>481</v>
      </c>
    </row>
    <row r="14" spans="1:44" x14ac:dyDescent="0.3">
      <c r="A14" s="1">
        <v>10</v>
      </c>
      <c r="B14" s="23">
        <v>0</v>
      </c>
      <c r="C14" s="23">
        <f>B14+1</f>
        <v>1</v>
      </c>
      <c r="D14" s="23">
        <f t="shared" si="14"/>
        <v>1</v>
      </c>
      <c r="E14" s="23">
        <f t="shared" si="8"/>
        <v>1</v>
      </c>
      <c r="F14" s="23">
        <f>E14+1</f>
        <v>2</v>
      </c>
      <c r="G14" s="23">
        <f>F14+1</f>
        <v>3</v>
      </c>
      <c r="H14" s="23">
        <f>G14+1</f>
        <v>4</v>
      </c>
      <c r="I14" s="23">
        <f t="shared" ref="I14:I35" si="26">H14+0</f>
        <v>4</v>
      </c>
      <c r="J14" s="23">
        <f t="shared" si="24"/>
        <v>4</v>
      </c>
      <c r="K14" s="23">
        <f>J14+2</f>
        <v>6</v>
      </c>
      <c r="L14" s="23">
        <f>K14+0</f>
        <v>6</v>
      </c>
      <c r="M14" s="23">
        <f>L14+0</f>
        <v>6</v>
      </c>
      <c r="N14" s="23">
        <f t="shared" si="19"/>
        <v>6</v>
      </c>
      <c r="O14" s="23">
        <f>N14+4</f>
        <v>10</v>
      </c>
      <c r="P14" s="23">
        <f t="shared" ref="P14:P35" si="27">O14+0</f>
        <v>10</v>
      </c>
      <c r="Q14" s="23">
        <f t="shared" si="25"/>
        <v>10</v>
      </c>
      <c r="R14" s="23">
        <f t="shared" si="10"/>
        <v>10</v>
      </c>
      <c r="S14" s="23">
        <f t="shared" si="10"/>
        <v>10</v>
      </c>
      <c r="T14" s="23">
        <f t="shared" si="10"/>
        <v>10</v>
      </c>
      <c r="U14" s="23">
        <f t="shared" si="20"/>
        <v>10</v>
      </c>
      <c r="V14" s="23">
        <f t="shared" ref="V14:V23" si="28">U14+0</f>
        <v>10</v>
      </c>
      <c r="W14" s="23">
        <f t="shared" si="21"/>
        <v>10</v>
      </c>
      <c r="X14" s="23">
        <f t="shared" si="21"/>
        <v>10</v>
      </c>
      <c r="Y14" s="23">
        <f t="shared" si="12"/>
        <v>10</v>
      </c>
      <c r="Z14" s="23">
        <f t="shared" si="12"/>
        <v>10</v>
      </c>
      <c r="AA14" s="23">
        <f t="shared" si="12"/>
        <v>10</v>
      </c>
      <c r="AB14" s="23">
        <f t="shared" si="22"/>
        <v>10</v>
      </c>
      <c r="AC14" s="23">
        <f t="shared" si="17"/>
        <v>10</v>
      </c>
      <c r="AD14" s="23">
        <f t="shared" si="17"/>
        <v>10</v>
      </c>
      <c r="AE14" s="23">
        <f t="shared" si="17"/>
        <v>10</v>
      </c>
      <c r="AF14" s="23">
        <f t="shared" si="17"/>
        <v>10</v>
      </c>
      <c r="AG14" s="23">
        <f t="shared" si="23"/>
        <v>10</v>
      </c>
      <c r="AH14" s="23">
        <f t="shared" si="18"/>
        <v>10</v>
      </c>
      <c r="AI14" s="23">
        <f t="shared" si="18"/>
        <v>10</v>
      </c>
      <c r="AJ14" s="23">
        <f t="shared" si="18"/>
        <v>10</v>
      </c>
      <c r="AK14" s="23">
        <f t="shared" si="18"/>
        <v>10</v>
      </c>
      <c r="AL14" s="2">
        <v>348</v>
      </c>
      <c r="AM14" s="4">
        <v>1</v>
      </c>
      <c r="AN14" s="15" t="s">
        <v>89</v>
      </c>
      <c r="AO14" s="15" t="s">
        <v>90</v>
      </c>
      <c r="AP14" s="15">
        <v>1961</v>
      </c>
      <c r="AQ14" s="15" t="s">
        <v>91</v>
      </c>
    </row>
    <row r="15" spans="1:44" x14ac:dyDescent="0.3">
      <c r="A15" s="1">
        <v>5</v>
      </c>
      <c r="B15" s="23">
        <v>0</v>
      </c>
      <c r="C15" s="23">
        <f>B15+2</f>
        <v>2</v>
      </c>
      <c r="D15" s="23">
        <f>C15+2</f>
        <v>4</v>
      </c>
      <c r="E15" s="23">
        <f>D15+1</f>
        <v>5</v>
      </c>
      <c r="F15" s="23">
        <f>E15+0</f>
        <v>5</v>
      </c>
      <c r="G15" s="23">
        <f>F15+0</f>
        <v>5</v>
      </c>
      <c r="H15" s="23">
        <f>G15+0</f>
        <v>5</v>
      </c>
      <c r="I15" s="23">
        <f t="shared" si="26"/>
        <v>5</v>
      </c>
      <c r="J15" s="23">
        <f t="shared" si="24"/>
        <v>5</v>
      </c>
      <c r="K15" s="23">
        <f t="shared" ref="K15:K25" si="29">J15+0</f>
        <v>5</v>
      </c>
      <c r="L15" s="23">
        <f>K15+0</f>
        <v>5</v>
      </c>
      <c r="M15" s="23">
        <f>L15+0</f>
        <v>5</v>
      </c>
      <c r="N15" s="23">
        <f t="shared" si="19"/>
        <v>5</v>
      </c>
      <c r="O15" s="23">
        <f t="shared" ref="O15:O34" si="30">N15+0</f>
        <v>5</v>
      </c>
      <c r="P15" s="23">
        <f t="shared" si="27"/>
        <v>5</v>
      </c>
      <c r="Q15" s="23">
        <f t="shared" si="25"/>
        <v>5</v>
      </c>
      <c r="R15" s="23">
        <f t="shared" si="10"/>
        <v>5</v>
      </c>
      <c r="S15" s="23">
        <f t="shared" si="10"/>
        <v>5</v>
      </c>
      <c r="T15" s="23">
        <f t="shared" si="10"/>
        <v>5</v>
      </c>
      <c r="U15" s="23">
        <f t="shared" si="20"/>
        <v>5</v>
      </c>
      <c r="V15" s="23">
        <f t="shared" si="28"/>
        <v>5</v>
      </c>
      <c r="W15" s="23">
        <f t="shared" si="21"/>
        <v>5</v>
      </c>
      <c r="X15" s="23">
        <f t="shared" si="21"/>
        <v>5</v>
      </c>
      <c r="Y15" s="23">
        <f t="shared" si="12"/>
        <v>5</v>
      </c>
      <c r="Z15" s="23">
        <f t="shared" si="12"/>
        <v>5</v>
      </c>
      <c r="AA15" s="23">
        <f t="shared" si="12"/>
        <v>5</v>
      </c>
      <c r="AB15" s="23">
        <f t="shared" si="22"/>
        <v>5</v>
      </c>
      <c r="AC15" s="23">
        <f t="shared" si="17"/>
        <v>5</v>
      </c>
      <c r="AD15" s="23">
        <f t="shared" si="17"/>
        <v>5</v>
      </c>
      <c r="AE15" s="23">
        <f t="shared" si="17"/>
        <v>5</v>
      </c>
      <c r="AF15" s="23">
        <f t="shared" si="17"/>
        <v>5</v>
      </c>
      <c r="AG15" s="23">
        <f t="shared" si="23"/>
        <v>5</v>
      </c>
      <c r="AH15" s="23">
        <f t="shared" si="18"/>
        <v>5</v>
      </c>
      <c r="AI15" s="23">
        <f t="shared" si="18"/>
        <v>5</v>
      </c>
      <c r="AJ15" s="23">
        <f t="shared" si="18"/>
        <v>5</v>
      </c>
      <c r="AK15" s="23">
        <f t="shared" si="18"/>
        <v>5</v>
      </c>
      <c r="AL15" s="2">
        <v>315</v>
      </c>
      <c r="AM15" s="4">
        <v>1</v>
      </c>
      <c r="AN15" s="15" t="s">
        <v>88</v>
      </c>
      <c r="AO15" s="15" t="s">
        <v>90</v>
      </c>
      <c r="AP15" s="15">
        <v>1961</v>
      </c>
      <c r="AQ15" s="15" t="s">
        <v>91</v>
      </c>
    </row>
    <row r="16" spans="1:44" x14ac:dyDescent="0.3">
      <c r="A16" s="1">
        <v>15</v>
      </c>
      <c r="B16" s="23">
        <v>0</v>
      </c>
      <c r="C16" s="23">
        <f>B16+5</f>
        <v>5</v>
      </c>
      <c r="D16" s="23">
        <f t="shared" ref="D16:F23" si="31">C16+0</f>
        <v>5</v>
      </c>
      <c r="E16" s="23">
        <f t="shared" si="31"/>
        <v>5</v>
      </c>
      <c r="F16" s="23">
        <f t="shared" si="31"/>
        <v>5</v>
      </c>
      <c r="G16" s="23">
        <f>F16+8</f>
        <v>13</v>
      </c>
      <c r="H16" s="23">
        <f>G16+0</f>
        <v>13</v>
      </c>
      <c r="I16" s="23">
        <f t="shared" si="26"/>
        <v>13</v>
      </c>
      <c r="J16" s="23">
        <f t="shared" si="24"/>
        <v>13</v>
      </c>
      <c r="K16" s="23">
        <f t="shared" si="29"/>
        <v>13</v>
      </c>
      <c r="L16" s="23">
        <f>K16+2</f>
        <v>15</v>
      </c>
      <c r="M16" s="23">
        <f t="shared" ref="M16:M32" si="32">L16+0</f>
        <v>15</v>
      </c>
      <c r="N16" s="23">
        <f t="shared" si="19"/>
        <v>15</v>
      </c>
      <c r="O16" s="23">
        <f t="shared" si="30"/>
        <v>15</v>
      </c>
      <c r="P16" s="23">
        <f t="shared" si="27"/>
        <v>15</v>
      </c>
      <c r="Q16" s="23">
        <f t="shared" si="25"/>
        <v>15</v>
      </c>
      <c r="R16" s="23">
        <f t="shared" si="10"/>
        <v>15</v>
      </c>
      <c r="S16" s="23">
        <f t="shared" si="10"/>
        <v>15</v>
      </c>
      <c r="T16" s="23">
        <f t="shared" si="10"/>
        <v>15</v>
      </c>
      <c r="U16" s="23">
        <f t="shared" si="20"/>
        <v>15</v>
      </c>
      <c r="V16" s="23">
        <f t="shared" si="28"/>
        <v>15</v>
      </c>
      <c r="W16" s="23">
        <f t="shared" si="21"/>
        <v>15</v>
      </c>
      <c r="X16" s="23">
        <f t="shared" si="21"/>
        <v>15</v>
      </c>
      <c r="Y16" s="23">
        <f t="shared" si="12"/>
        <v>15</v>
      </c>
      <c r="Z16" s="23">
        <f t="shared" si="12"/>
        <v>15</v>
      </c>
      <c r="AA16" s="23">
        <f t="shared" si="12"/>
        <v>15</v>
      </c>
      <c r="AB16" s="23">
        <f t="shared" si="22"/>
        <v>15</v>
      </c>
      <c r="AC16" s="23">
        <f t="shared" si="17"/>
        <v>15</v>
      </c>
      <c r="AD16" s="23">
        <f t="shared" si="17"/>
        <v>15</v>
      </c>
      <c r="AE16" s="23">
        <f t="shared" si="17"/>
        <v>15</v>
      </c>
      <c r="AF16" s="23">
        <f t="shared" si="17"/>
        <v>15</v>
      </c>
      <c r="AG16" s="23">
        <f t="shared" si="23"/>
        <v>15</v>
      </c>
      <c r="AH16" s="23">
        <f t="shared" si="18"/>
        <v>15</v>
      </c>
      <c r="AI16" s="23">
        <f t="shared" si="18"/>
        <v>15</v>
      </c>
      <c r="AJ16" s="23">
        <f t="shared" si="18"/>
        <v>15</v>
      </c>
      <c r="AK16" s="23">
        <f t="shared" si="18"/>
        <v>15</v>
      </c>
      <c r="AL16" s="2">
        <v>390</v>
      </c>
      <c r="AM16" s="4">
        <v>1</v>
      </c>
      <c r="AN16" s="15" t="s">
        <v>261</v>
      </c>
      <c r="AO16" s="15" t="s">
        <v>262</v>
      </c>
      <c r="AP16" s="15">
        <v>1961</v>
      </c>
      <c r="AQ16" s="15" t="s">
        <v>263</v>
      </c>
    </row>
    <row r="17" spans="1:43" x14ac:dyDescent="0.3">
      <c r="A17" s="1">
        <v>12</v>
      </c>
      <c r="B17" s="23">
        <v>0</v>
      </c>
      <c r="C17" s="23">
        <f>B17+11</f>
        <v>11</v>
      </c>
      <c r="D17" s="23">
        <f t="shared" si="31"/>
        <v>11</v>
      </c>
      <c r="E17" s="23">
        <f t="shared" si="31"/>
        <v>11</v>
      </c>
      <c r="F17" s="23">
        <f t="shared" si="31"/>
        <v>11</v>
      </c>
      <c r="G17" s="23">
        <f>F17+1</f>
        <v>12</v>
      </c>
      <c r="H17" s="23">
        <f>G17+0</f>
        <v>12</v>
      </c>
      <c r="I17" s="23">
        <f t="shared" si="26"/>
        <v>12</v>
      </c>
      <c r="J17" s="23">
        <f t="shared" si="24"/>
        <v>12</v>
      </c>
      <c r="K17" s="23">
        <f t="shared" si="29"/>
        <v>12</v>
      </c>
      <c r="L17" s="23">
        <f>K17+0</f>
        <v>12</v>
      </c>
      <c r="M17" s="23">
        <f t="shared" si="32"/>
        <v>12</v>
      </c>
      <c r="N17" s="23">
        <f t="shared" si="19"/>
        <v>12</v>
      </c>
      <c r="O17" s="23">
        <f t="shared" si="30"/>
        <v>12</v>
      </c>
      <c r="P17" s="23">
        <f t="shared" si="27"/>
        <v>12</v>
      </c>
      <c r="Q17" s="23">
        <f t="shared" si="25"/>
        <v>12</v>
      </c>
      <c r="R17" s="23">
        <f t="shared" si="10"/>
        <v>12</v>
      </c>
      <c r="S17" s="23">
        <f t="shared" si="10"/>
        <v>12</v>
      </c>
      <c r="T17" s="23">
        <f t="shared" si="10"/>
        <v>12</v>
      </c>
      <c r="U17" s="23">
        <f t="shared" si="20"/>
        <v>12</v>
      </c>
      <c r="V17" s="23">
        <f t="shared" si="28"/>
        <v>12</v>
      </c>
      <c r="W17" s="23">
        <f t="shared" si="21"/>
        <v>12</v>
      </c>
      <c r="X17" s="23">
        <f t="shared" si="21"/>
        <v>12</v>
      </c>
      <c r="Y17" s="23">
        <f t="shared" si="12"/>
        <v>12</v>
      </c>
      <c r="Z17" s="23">
        <f t="shared" si="12"/>
        <v>12</v>
      </c>
      <c r="AA17" s="23">
        <f t="shared" si="12"/>
        <v>12</v>
      </c>
      <c r="AB17" s="23">
        <f t="shared" si="22"/>
        <v>12</v>
      </c>
      <c r="AC17" s="23">
        <f t="shared" si="17"/>
        <v>12</v>
      </c>
      <c r="AD17" s="23">
        <f t="shared" si="17"/>
        <v>12</v>
      </c>
      <c r="AE17" s="23">
        <f t="shared" si="17"/>
        <v>12</v>
      </c>
      <c r="AF17" s="23">
        <f t="shared" si="17"/>
        <v>12</v>
      </c>
      <c r="AG17" s="23">
        <f t="shared" si="23"/>
        <v>12</v>
      </c>
      <c r="AH17" s="23">
        <f t="shared" si="18"/>
        <v>12</v>
      </c>
      <c r="AI17" s="23">
        <f t="shared" si="18"/>
        <v>12</v>
      </c>
      <c r="AJ17" s="23">
        <f t="shared" si="18"/>
        <v>12</v>
      </c>
      <c r="AK17" s="23">
        <f t="shared" si="18"/>
        <v>12</v>
      </c>
      <c r="AL17" s="2">
        <v>2700</v>
      </c>
      <c r="AM17" s="4">
        <v>1</v>
      </c>
      <c r="AN17" s="15" t="s">
        <v>264</v>
      </c>
      <c r="AO17" s="15" t="s">
        <v>262</v>
      </c>
      <c r="AP17" s="15">
        <v>1961</v>
      </c>
      <c r="AQ17" s="15" t="s">
        <v>263</v>
      </c>
    </row>
    <row r="18" spans="1:43" x14ac:dyDescent="0.3">
      <c r="A18" s="1">
        <v>21</v>
      </c>
      <c r="B18" s="23">
        <v>0</v>
      </c>
      <c r="C18" s="23">
        <f>B18+16</f>
        <v>16</v>
      </c>
      <c r="D18" s="23">
        <f t="shared" si="31"/>
        <v>16</v>
      </c>
      <c r="E18" s="23">
        <f t="shared" si="31"/>
        <v>16</v>
      </c>
      <c r="F18" s="23">
        <f t="shared" si="31"/>
        <v>16</v>
      </c>
      <c r="G18" s="23">
        <f>F18+4</f>
        <v>20</v>
      </c>
      <c r="H18" s="23">
        <f>G18+0</f>
        <v>20</v>
      </c>
      <c r="I18" s="23">
        <f t="shared" si="26"/>
        <v>20</v>
      </c>
      <c r="J18" s="23">
        <f t="shared" si="24"/>
        <v>20</v>
      </c>
      <c r="K18" s="23">
        <f t="shared" si="29"/>
        <v>20</v>
      </c>
      <c r="L18" s="23">
        <f>K18+1</f>
        <v>21</v>
      </c>
      <c r="M18" s="23">
        <f t="shared" si="32"/>
        <v>21</v>
      </c>
      <c r="N18" s="23">
        <f t="shared" si="19"/>
        <v>21</v>
      </c>
      <c r="O18" s="23">
        <f t="shared" si="30"/>
        <v>21</v>
      </c>
      <c r="P18" s="23">
        <f t="shared" si="27"/>
        <v>21</v>
      </c>
      <c r="Q18" s="23">
        <f t="shared" si="25"/>
        <v>21</v>
      </c>
      <c r="R18" s="23">
        <f t="shared" si="10"/>
        <v>21</v>
      </c>
      <c r="S18" s="23">
        <f t="shared" si="10"/>
        <v>21</v>
      </c>
      <c r="T18" s="23">
        <f t="shared" si="10"/>
        <v>21</v>
      </c>
      <c r="U18" s="23">
        <f t="shared" si="20"/>
        <v>21</v>
      </c>
      <c r="V18" s="23">
        <f t="shared" si="28"/>
        <v>21</v>
      </c>
      <c r="W18" s="23">
        <f t="shared" si="21"/>
        <v>21</v>
      </c>
      <c r="X18" s="23">
        <f t="shared" si="21"/>
        <v>21</v>
      </c>
      <c r="Y18" s="23">
        <f t="shared" si="12"/>
        <v>21</v>
      </c>
      <c r="Z18" s="23">
        <f t="shared" si="12"/>
        <v>21</v>
      </c>
      <c r="AA18" s="23">
        <f t="shared" si="12"/>
        <v>21</v>
      </c>
      <c r="AB18" s="23">
        <f t="shared" si="22"/>
        <v>21</v>
      </c>
      <c r="AC18" s="23">
        <f t="shared" si="17"/>
        <v>21</v>
      </c>
      <c r="AD18" s="23">
        <f t="shared" si="17"/>
        <v>21</v>
      </c>
      <c r="AE18" s="23">
        <f t="shared" si="17"/>
        <v>21</v>
      </c>
      <c r="AF18" s="23">
        <f t="shared" si="17"/>
        <v>21</v>
      </c>
      <c r="AG18" s="23">
        <f t="shared" si="23"/>
        <v>21</v>
      </c>
      <c r="AH18" s="23">
        <f t="shared" si="18"/>
        <v>21</v>
      </c>
      <c r="AI18" s="23">
        <f t="shared" si="18"/>
        <v>21</v>
      </c>
      <c r="AJ18" s="23">
        <f t="shared" si="18"/>
        <v>21</v>
      </c>
      <c r="AK18" s="23">
        <f t="shared" si="18"/>
        <v>21</v>
      </c>
      <c r="AL18" s="68">
        <v>390</v>
      </c>
      <c r="AM18" s="4">
        <v>2</v>
      </c>
      <c r="AN18" s="15" t="s">
        <v>261</v>
      </c>
      <c r="AO18" s="15" t="s">
        <v>262</v>
      </c>
      <c r="AP18" s="15">
        <v>1961</v>
      </c>
      <c r="AQ18" s="15" t="s">
        <v>263</v>
      </c>
    </row>
    <row r="19" spans="1:43" x14ac:dyDescent="0.3">
      <c r="A19" s="1">
        <v>1</v>
      </c>
      <c r="B19" s="23">
        <v>0</v>
      </c>
      <c r="C19" s="23">
        <f>B19+0</f>
        <v>0</v>
      </c>
      <c r="D19" s="23">
        <f t="shared" si="31"/>
        <v>0</v>
      </c>
      <c r="E19" s="23">
        <f t="shared" si="31"/>
        <v>0</v>
      </c>
      <c r="F19" s="23">
        <f t="shared" si="31"/>
        <v>0</v>
      </c>
      <c r="G19" s="23">
        <f t="shared" ref="G19:G35" si="33">F19+0</f>
        <v>0</v>
      </c>
      <c r="H19" s="23">
        <f>G19+0</f>
        <v>0</v>
      </c>
      <c r="I19" s="23">
        <f t="shared" si="26"/>
        <v>0</v>
      </c>
      <c r="J19" s="23">
        <f t="shared" si="24"/>
        <v>0</v>
      </c>
      <c r="K19" s="23">
        <f t="shared" si="29"/>
        <v>0</v>
      </c>
      <c r="L19" s="23">
        <f>K19+1</f>
        <v>1</v>
      </c>
      <c r="M19" s="23">
        <f t="shared" si="32"/>
        <v>1</v>
      </c>
      <c r="N19" s="23">
        <f t="shared" si="19"/>
        <v>1</v>
      </c>
      <c r="O19" s="23">
        <f t="shared" si="30"/>
        <v>1</v>
      </c>
      <c r="P19" s="23">
        <f t="shared" si="27"/>
        <v>1</v>
      </c>
      <c r="Q19" s="23">
        <f t="shared" si="25"/>
        <v>1</v>
      </c>
      <c r="R19" s="23">
        <f t="shared" si="10"/>
        <v>1</v>
      </c>
      <c r="S19" s="23">
        <f t="shared" si="10"/>
        <v>1</v>
      </c>
      <c r="T19" s="23">
        <f t="shared" si="10"/>
        <v>1</v>
      </c>
      <c r="U19" s="23">
        <f t="shared" si="20"/>
        <v>1</v>
      </c>
      <c r="V19" s="23">
        <f t="shared" si="28"/>
        <v>1</v>
      </c>
      <c r="W19" s="23">
        <f t="shared" si="21"/>
        <v>1</v>
      </c>
      <c r="X19" s="23">
        <f t="shared" si="21"/>
        <v>1</v>
      </c>
      <c r="Y19" s="23">
        <f t="shared" si="12"/>
        <v>1</v>
      </c>
      <c r="Z19" s="23">
        <f t="shared" si="12"/>
        <v>1</v>
      </c>
      <c r="AA19" s="23">
        <f t="shared" si="12"/>
        <v>1</v>
      </c>
      <c r="AB19" s="23">
        <f t="shared" si="22"/>
        <v>1</v>
      </c>
      <c r="AC19" s="23">
        <f t="shared" si="17"/>
        <v>1</v>
      </c>
      <c r="AD19" s="23">
        <f t="shared" si="17"/>
        <v>1</v>
      </c>
      <c r="AE19" s="23">
        <f t="shared" si="17"/>
        <v>1</v>
      </c>
      <c r="AF19" s="23">
        <f t="shared" si="17"/>
        <v>1</v>
      </c>
      <c r="AG19" s="23">
        <f t="shared" si="23"/>
        <v>1</v>
      </c>
      <c r="AH19" s="23">
        <f t="shared" si="18"/>
        <v>1</v>
      </c>
      <c r="AI19" s="23">
        <f t="shared" si="18"/>
        <v>1</v>
      </c>
      <c r="AJ19" s="23">
        <f t="shared" si="18"/>
        <v>1</v>
      </c>
      <c r="AK19" s="23">
        <f t="shared" si="18"/>
        <v>1</v>
      </c>
      <c r="AL19" s="68">
        <f>390+45</f>
        <v>435</v>
      </c>
      <c r="AM19" s="4">
        <v>2</v>
      </c>
      <c r="AN19" s="15" t="s">
        <v>261</v>
      </c>
      <c r="AO19" s="15" t="s">
        <v>262</v>
      </c>
      <c r="AP19" s="15">
        <v>1961</v>
      </c>
      <c r="AQ19" s="15" t="s">
        <v>263</v>
      </c>
    </row>
    <row r="20" spans="1:43" x14ac:dyDescent="0.3">
      <c r="A20" s="1">
        <v>18</v>
      </c>
      <c r="B20" s="23">
        <v>0</v>
      </c>
      <c r="C20" s="23">
        <f>B20+17</f>
        <v>17</v>
      </c>
      <c r="D20" s="23">
        <f t="shared" si="31"/>
        <v>17</v>
      </c>
      <c r="E20" s="23">
        <f t="shared" si="31"/>
        <v>17</v>
      </c>
      <c r="F20" s="23">
        <f t="shared" si="31"/>
        <v>17</v>
      </c>
      <c r="G20" s="23">
        <f t="shared" si="33"/>
        <v>17</v>
      </c>
      <c r="H20" s="23">
        <f>G20+0</f>
        <v>17</v>
      </c>
      <c r="I20" s="23">
        <f t="shared" si="26"/>
        <v>17</v>
      </c>
      <c r="J20" s="23">
        <f t="shared" si="24"/>
        <v>17</v>
      </c>
      <c r="K20" s="23">
        <f t="shared" si="29"/>
        <v>17</v>
      </c>
      <c r="L20" s="23">
        <f>K20+1</f>
        <v>18</v>
      </c>
      <c r="M20" s="23">
        <f t="shared" si="32"/>
        <v>18</v>
      </c>
      <c r="N20" s="23">
        <f t="shared" si="19"/>
        <v>18</v>
      </c>
      <c r="O20" s="23">
        <f t="shared" si="30"/>
        <v>18</v>
      </c>
      <c r="P20" s="23">
        <f t="shared" si="27"/>
        <v>18</v>
      </c>
      <c r="Q20" s="23">
        <f t="shared" si="25"/>
        <v>18</v>
      </c>
      <c r="R20" s="23">
        <f t="shared" si="10"/>
        <v>18</v>
      </c>
      <c r="S20" s="23">
        <f t="shared" si="10"/>
        <v>18</v>
      </c>
      <c r="T20" s="23">
        <f t="shared" si="10"/>
        <v>18</v>
      </c>
      <c r="U20" s="23">
        <f t="shared" si="20"/>
        <v>18</v>
      </c>
      <c r="V20" s="23">
        <f t="shared" si="28"/>
        <v>18</v>
      </c>
      <c r="W20" s="23">
        <f t="shared" si="21"/>
        <v>18</v>
      </c>
      <c r="X20" s="23">
        <f t="shared" si="21"/>
        <v>18</v>
      </c>
      <c r="Y20" s="23">
        <f t="shared" si="12"/>
        <v>18</v>
      </c>
      <c r="Z20" s="23">
        <f t="shared" si="12"/>
        <v>18</v>
      </c>
      <c r="AA20" s="23">
        <f t="shared" si="12"/>
        <v>18</v>
      </c>
      <c r="AB20" s="23">
        <f t="shared" si="22"/>
        <v>18</v>
      </c>
      <c r="AC20" s="23">
        <f t="shared" si="17"/>
        <v>18</v>
      </c>
      <c r="AD20" s="23">
        <f t="shared" si="17"/>
        <v>18</v>
      </c>
      <c r="AE20" s="23">
        <f t="shared" si="17"/>
        <v>18</v>
      </c>
      <c r="AF20" s="23">
        <f t="shared" si="17"/>
        <v>18</v>
      </c>
      <c r="AG20" s="23">
        <f t="shared" si="23"/>
        <v>18</v>
      </c>
      <c r="AH20" s="23">
        <f t="shared" si="18"/>
        <v>18</v>
      </c>
      <c r="AI20" s="23">
        <f t="shared" si="18"/>
        <v>18</v>
      </c>
      <c r="AJ20" s="23">
        <f t="shared" si="18"/>
        <v>18</v>
      </c>
      <c r="AK20" s="23">
        <f t="shared" si="18"/>
        <v>18</v>
      </c>
      <c r="AL20" s="68">
        <v>2700</v>
      </c>
      <c r="AM20" s="4">
        <v>2</v>
      </c>
      <c r="AN20" s="15" t="s">
        <v>264</v>
      </c>
      <c r="AO20" s="15" t="s">
        <v>262</v>
      </c>
      <c r="AP20" s="15">
        <v>1961</v>
      </c>
      <c r="AQ20" s="15" t="s">
        <v>263</v>
      </c>
    </row>
    <row r="21" spans="1:43" x14ac:dyDescent="0.3">
      <c r="A21" s="1">
        <v>23</v>
      </c>
      <c r="B21" s="23">
        <v>0</v>
      </c>
      <c r="C21" s="23">
        <f>B21+16</f>
        <v>16</v>
      </c>
      <c r="D21" s="23">
        <f t="shared" si="31"/>
        <v>16</v>
      </c>
      <c r="E21" s="23">
        <f t="shared" si="31"/>
        <v>16</v>
      </c>
      <c r="F21" s="23">
        <f t="shared" si="31"/>
        <v>16</v>
      </c>
      <c r="G21" s="23">
        <f t="shared" si="33"/>
        <v>16</v>
      </c>
      <c r="H21" s="23">
        <f>G21+5</f>
        <v>21</v>
      </c>
      <c r="I21" s="23">
        <f t="shared" si="26"/>
        <v>21</v>
      </c>
      <c r="J21" s="23">
        <f t="shared" si="24"/>
        <v>21</v>
      </c>
      <c r="K21" s="23">
        <f t="shared" si="29"/>
        <v>21</v>
      </c>
      <c r="L21" s="23">
        <f>K21+1</f>
        <v>22</v>
      </c>
      <c r="M21" s="23">
        <f t="shared" si="32"/>
        <v>22</v>
      </c>
      <c r="N21" s="23">
        <f t="shared" si="19"/>
        <v>22</v>
      </c>
      <c r="O21" s="23">
        <f t="shared" si="30"/>
        <v>22</v>
      </c>
      <c r="P21" s="23">
        <f t="shared" si="27"/>
        <v>22</v>
      </c>
      <c r="Q21" s="23">
        <f t="shared" si="25"/>
        <v>22</v>
      </c>
      <c r="R21" s="23">
        <f t="shared" ref="R21:R44" si="34">Q21+0</f>
        <v>22</v>
      </c>
      <c r="S21" s="23">
        <f>R21+1</f>
        <v>23</v>
      </c>
      <c r="T21" s="23">
        <f t="shared" ref="T21:T34" si="35">S21+0</f>
        <v>23</v>
      </c>
      <c r="U21" s="23">
        <f t="shared" si="20"/>
        <v>23</v>
      </c>
      <c r="V21" s="23">
        <f t="shared" si="28"/>
        <v>23</v>
      </c>
      <c r="W21" s="23">
        <f t="shared" si="21"/>
        <v>23</v>
      </c>
      <c r="X21" s="23">
        <f t="shared" si="21"/>
        <v>23</v>
      </c>
      <c r="Y21" s="23">
        <f t="shared" si="12"/>
        <v>23</v>
      </c>
      <c r="Z21" s="23">
        <f t="shared" si="12"/>
        <v>23</v>
      </c>
      <c r="AA21" s="23">
        <f t="shared" si="12"/>
        <v>23</v>
      </c>
      <c r="AB21" s="23">
        <f t="shared" si="22"/>
        <v>23</v>
      </c>
      <c r="AC21" s="23">
        <f t="shared" si="17"/>
        <v>23</v>
      </c>
      <c r="AD21" s="23">
        <f t="shared" si="17"/>
        <v>23</v>
      </c>
      <c r="AE21" s="23">
        <f t="shared" si="17"/>
        <v>23</v>
      </c>
      <c r="AF21" s="23">
        <f t="shared" si="17"/>
        <v>23</v>
      </c>
      <c r="AG21" s="23">
        <f t="shared" si="23"/>
        <v>23</v>
      </c>
      <c r="AH21" s="23">
        <f t="shared" si="18"/>
        <v>23</v>
      </c>
      <c r="AI21" s="23">
        <f t="shared" si="18"/>
        <v>23</v>
      </c>
      <c r="AJ21" s="23">
        <f t="shared" si="18"/>
        <v>23</v>
      </c>
      <c r="AK21" s="23">
        <f t="shared" si="18"/>
        <v>23</v>
      </c>
      <c r="AL21" s="68">
        <v>390</v>
      </c>
      <c r="AM21" s="4">
        <v>3</v>
      </c>
      <c r="AN21" s="15" t="s">
        <v>261</v>
      </c>
      <c r="AO21" s="15" t="s">
        <v>262</v>
      </c>
      <c r="AP21" s="15">
        <v>1961</v>
      </c>
      <c r="AQ21" s="15" t="s">
        <v>263</v>
      </c>
    </row>
    <row r="22" spans="1:43" x14ac:dyDescent="0.3">
      <c r="A22" s="1">
        <v>3</v>
      </c>
      <c r="B22" s="23">
        <v>0</v>
      </c>
      <c r="C22" s="23">
        <f>B22+0</f>
        <v>0</v>
      </c>
      <c r="D22" s="23">
        <f t="shared" si="31"/>
        <v>0</v>
      </c>
      <c r="E22" s="23">
        <f t="shared" si="31"/>
        <v>0</v>
      </c>
      <c r="F22" s="23">
        <f t="shared" si="31"/>
        <v>0</v>
      </c>
      <c r="G22" s="23">
        <f t="shared" si="33"/>
        <v>0</v>
      </c>
      <c r="H22" s="23">
        <f>G22+2</f>
        <v>2</v>
      </c>
      <c r="I22" s="23">
        <f t="shared" si="26"/>
        <v>2</v>
      </c>
      <c r="J22" s="23">
        <f t="shared" si="24"/>
        <v>2</v>
      </c>
      <c r="K22" s="23">
        <f t="shared" si="29"/>
        <v>2</v>
      </c>
      <c r="L22" s="23">
        <f>K22+1</f>
        <v>3</v>
      </c>
      <c r="M22" s="23">
        <f t="shared" si="32"/>
        <v>3</v>
      </c>
      <c r="N22" s="23">
        <f t="shared" si="19"/>
        <v>3</v>
      </c>
      <c r="O22" s="23">
        <f t="shared" si="30"/>
        <v>3</v>
      </c>
      <c r="P22" s="23">
        <f t="shared" si="27"/>
        <v>3</v>
      </c>
      <c r="Q22" s="23">
        <f t="shared" si="25"/>
        <v>3</v>
      </c>
      <c r="R22" s="23">
        <f t="shared" si="34"/>
        <v>3</v>
      </c>
      <c r="S22" s="23">
        <f t="shared" ref="S22:S32" si="36">R22+0</f>
        <v>3</v>
      </c>
      <c r="T22" s="23">
        <f t="shared" si="35"/>
        <v>3</v>
      </c>
      <c r="U22" s="23">
        <f t="shared" si="20"/>
        <v>3</v>
      </c>
      <c r="V22" s="23">
        <f t="shared" si="28"/>
        <v>3</v>
      </c>
      <c r="W22" s="23">
        <f t="shared" si="21"/>
        <v>3</v>
      </c>
      <c r="X22" s="23">
        <f t="shared" si="21"/>
        <v>3</v>
      </c>
      <c r="Y22" s="23">
        <f t="shared" si="12"/>
        <v>3</v>
      </c>
      <c r="Z22" s="23">
        <f t="shared" si="12"/>
        <v>3</v>
      </c>
      <c r="AA22" s="23">
        <f t="shared" si="12"/>
        <v>3</v>
      </c>
      <c r="AB22" s="23">
        <f t="shared" si="22"/>
        <v>3</v>
      </c>
      <c r="AC22" s="23">
        <f t="shared" si="17"/>
        <v>3</v>
      </c>
      <c r="AD22" s="23">
        <f t="shared" si="17"/>
        <v>3</v>
      </c>
      <c r="AE22" s="23">
        <f t="shared" si="17"/>
        <v>3</v>
      </c>
      <c r="AF22" s="23">
        <f t="shared" si="17"/>
        <v>3</v>
      </c>
      <c r="AG22" s="23">
        <f t="shared" si="23"/>
        <v>3</v>
      </c>
      <c r="AH22" s="23">
        <f t="shared" si="18"/>
        <v>3</v>
      </c>
      <c r="AI22" s="23">
        <f t="shared" si="18"/>
        <v>3</v>
      </c>
      <c r="AJ22" s="23">
        <f t="shared" si="18"/>
        <v>3</v>
      </c>
      <c r="AK22" s="23">
        <f t="shared" si="18"/>
        <v>3</v>
      </c>
      <c r="AL22" s="68">
        <f>390+45</f>
        <v>435</v>
      </c>
      <c r="AM22" s="4">
        <v>3</v>
      </c>
      <c r="AN22" s="15" t="s">
        <v>261</v>
      </c>
      <c r="AO22" s="15" t="s">
        <v>262</v>
      </c>
      <c r="AP22" s="15">
        <v>1961</v>
      </c>
      <c r="AQ22" s="15" t="s">
        <v>263</v>
      </c>
    </row>
    <row r="23" spans="1:43" x14ac:dyDescent="0.3">
      <c r="A23" s="1">
        <v>21</v>
      </c>
      <c r="B23" s="23">
        <v>0</v>
      </c>
      <c r="C23" s="23">
        <f>B23+18</f>
        <v>18</v>
      </c>
      <c r="D23" s="23">
        <f t="shared" si="31"/>
        <v>18</v>
      </c>
      <c r="E23" s="23">
        <f t="shared" si="31"/>
        <v>18</v>
      </c>
      <c r="F23" s="23">
        <f t="shared" si="31"/>
        <v>18</v>
      </c>
      <c r="G23" s="23">
        <f t="shared" si="33"/>
        <v>18</v>
      </c>
      <c r="H23" s="23">
        <f>G23+3</f>
        <v>21</v>
      </c>
      <c r="I23" s="23">
        <f t="shared" si="26"/>
        <v>21</v>
      </c>
      <c r="J23" s="23">
        <f t="shared" si="24"/>
        <v>21</v>
      </c>
      <c r="K23" s="23">
        <f t="shared" si="29"/>
        <v>21</v>
      </c>
      <c r="L23" s="23">
        <f>K23+0</f>
        <v>21</v>
      </c>
      <c r="M23" s="23">
        <f t="shared" si="32"/>
        <v>21</v>
      </c>
      <c r="N23" s="23">
        <f t="shared" si="19"/>
        <v>21</v>
      </c>
      <c r="O23" s="23">
        <f t="shared" si="30"/>
        <v>21</v>
      </c>
      <c r="P23" s="23">
        <f t="shared" si="27"/>
        <v>21</v>
      </c>
      <c r="Q23" s="23">
        <f t="shared" si="25"/>
        <v>21</v>
      </c>
      <c r="R23" s="23">
        <f t="shared" si="34"/>
        <v>21</v>
      </c>
      <c r="S23" s="23">
        <f t="shared" si="36"/>
        <v>21</v>
      </c>
      <c r="T23" s="23">
        <f t="shared" si="35"/>
        <v>21</v>
      </c>
      <c r="U23" s="23">
        <f t="shared" si="20"/>
        <v>21</v>
      </c>
      <c r="V23" s="23">
        <f t="shared" si="28"/>
        <v>21</v>
      </c>
      <c r="W23" s="23">
        <f t="shared" si="21"/>
        <v>21</v>
      </c>
      <c r="X23" s="23">
        <f t="shared" si="21"/>
        <v>21</v>
      </c>
      <c r="Y23" s="23">
        <f t="shared" si="12"/>
        <v>21</v>
      </c>
      <c r="Z23" s="23">
        <f t="shared" si="12"/>
        <v>21</v>
      </c>
      <c r="AA23" s="23">
        <f t="shared" si="12"/>
        <v>21</v>
      </c>
      <c r="AB23" s="23">
        <f t="shared" si="22"/>
        <v>21</v>
      </c>
      <c r="AC23" s="23">
        <f t="shared" si="17"/>
        <v>21</v>
      </c>
      <c r="AD23" s="23">
        <f t="shared" si="17"/>
        <v>21</v>
      </c>
      <c r="AE23" s="23">
        <f t="shared" si="17"/>
        <v>21</v>
      </c>
      <c r="AF23" s="23">
        <f t="shared" si="17"/>
        <v>21</v>
      </c>
      <c r="AG23" s="23">
        <f t="shared" si="23"/>
        <v>21</v>
      </c>
      <c r="AH23" s="23">
        <f t="shared" si="18"/>
        <v>21</v>
      </c>
      <c r="AI23" s="23">
        <f t="shared" si="18"/>
        <v>21</v>
      </c>
      <c r="AJ23" s="23">
        <f t="shared" si="18"/>
        <v>21</v>
      </c>
      <c r="AK23" s="23">
        <f t="shared" si="18"/>
        <v>21</v>
      </c>
      <c r="AL23" s="68">
        <v>2700</v>
      </c>
      <c r="AM23" s="4">
        <v>3</v>
      </c>
      <c r="AN23" s="15" t="s">
        <v>264</v>
      </c>
      <c r="AO23" s="15" t="s">
        <v>262</v>
      </c>
      <c r="AP23" s="15">
        <v>1961</v>
      </c>
      <c r="AQ23" s="15" t="s">
        <v>263</v>
      </c>
    </row>
    <row r="24" spans="1:43" x14ac:dyDescent="0.3">
      <c r="A24" s="1">
        <v>47</v>
      </c>
      <c r="B24" s="23">
        <v>0</v>
      </c>
      <c r="C24" s="23">
        <f t="shared" ref="C24:E35" si="37">B24+0</f>
        <v>0</v>
      </c>
      <c r="D24" s="23">
        <f t="shared" si="37"/>
        <v>0</v>
      </c>
      <c r="E24" s="23">
        <f t="shared" si="37"/>
        <v>0</v>
      </c>
      <c r="F24" s="23">
        <f>E24+35</f>
        <v>35</v>
      </c>
      <c r="G24" s="23">
        <f t="shared" si="33"/>
        <v>35</v>
      </c>
      <c r="H24" s="23">
        <f t="shared" ref="H24:H34" si="38">G24+0</f>
        <v>35</v>
      </c>
      <c r="I24" s="23">
        <f t="shared" si="26"/>
        <v>35</v>
      </c>
      <c r="J24" s="23">
        <f t="shared" si="24"/>
        <v>35</v>
      </c>
      <c r="K24" s="23">
        <f t="shared" si="29"/>
        <v>35</v>
      </c>
      <c r="L24" s="23">
        <f>K24+0</f>
        <v>35</v>
      </c>
      <c r="M24" s="23">
        <f t="shared" si="32"/>
        <v>35</v>
      </c>
      <c r="N24" s="23">
        <f t="shared" si="19"/>
        <v>35</v>
      </c>
      <c r="O24" s="23">
        <f t="shared" si="30"/>
        <v>35</v>
      </c>
      <c r="P24" s="23">
        <f t="shared" si="27"/>
        <v>35</v>
      </c>
      <c r="Q24" s="23">
        <f t="shared" si="25"/>
        <v>35</v>
      </c>
      <c r="R24" s="23">
        <f t="shared" si="34"/>
        <v>35</v>
      </c>
      <c r="S24" s="23">
        <f t="shared" si="36"/>
        <v>35</v>
      </c>
      <c r="T24" s="23">
        <f t="shared" si="35"/>
        <v>35</v>
      </c>
      <c r="U24" s="23">
        <f t="shared" si="20"/>
        <v>35</v>
      </c>
      <c r="V24" s="23">
        <f>U24+12</f>
        <v>47</v>
      </c>
      <c r="W24" s="23">
        <f t="shared" si="21"/>
        <v>47</v>
      </c>
      <c r="X24" s="23">
        <f t="shared" si="21"/>
        <v>47</v>
      </c>
      <c r="Y24" s="23">
        <f t="shared" si="12"/>
        <v>47</v>
      </c>
      <c r="Z24" s="23">
        <f t="shared" si="12"/>
        <v>47</v>
      </c>
      <c r="AA24" s="23">
        <f t="shared" si="12"/>
        <v>47</v>
      </c>
      <c r="AB24" s="23">
        <f t="shared" si="22"/>
        <v>47</v>
      </c>
      <c r="AC24" s="23">
        <f t="shared" si="17"/>
        <v>47</v>
      </c>
      <c r="AD24" s="23">
        <f t="shared" si="17"/>
        <v>47</v>
      </c>
      <c r="AE24" s="23">
        <f t="shared" si="17"/>
        <v>47</v>
      </c>
      <c r="AF24" s="23">
        <f t="shared" si="17"/>
        <v>47</v>
      </c>
      <c r="AG24" s="23">
        <f t="shared" si="23"/>
        <v>47</v>
      </c>
      <c r="AH24" s="23">
        <f t="shared" si="18"/>
        <v>47</v>
      </c>
      <c r="AI24" s="23">
        <f t="shared" si="18"/>
        <v>47</v>
      </c>
      <c r="AJ24" s="23">
        <f t="shared" si="18"/>
        <v>47</v>
      </c>
      <c r="AK24" s="23">
        <f t="shared" si="18"/>
        <v>47</v>
      </c>
      <c r="AL24" s="81">
        <v>60</v>
      </c>
      <c r="AM24" s="4">
        <v>1</v>
      </c>
      <c r="AN24" s="15" t="s">
        <v>142</v>
      </c>
      <c r="AO24" s="15" t="s">
        <v>139</v>
      </c>
      <c r="AP24" s="15">
        <v>1986</v>
      </c>
      <c r="AQ24" s="15" t="s">
        <v>211</v>
      </c>
    </row>
    <row r="25" spans="1:43" x14ac:dyDescent="0.3">
      <c r="A25" s="1">
        <v>44</v>
      </c>
      <c r="B25" s="23">
        <v>0</v>
      </c>
      <c r="C25" s="23">
        <f t="shared" si="37"/>
        <v>0</v>
      </c>
      <c r="D25" s="23">
        <f t="shared" si="37"/>
        <v>0</v>
      </c>
      <c r="E25" s="23">
        <f t="shared" si="37"/>
        <v>0</v>
      </c>
      <c r="F25" s="23">
        <f>E25+0</f>
        <v>0</v>
      </c>
      <c r="G25" s="23">
        <f t="shared" si="33"/>
        <v>0</v>
      </c>
      <c r="H25" s="23">
        <f t="shared" si="38"/>
        <v>0</v>
      </c>
      <c r="I25" s="23">
        <f t="shared" si="26"/>
        <v>0</v>
      </c>
      <c r="J25" s="23">
        <f t="shared" si="24"/>
        <v>0</v>
      </c>
      <c r="K25" s="23">
        <f t="shared" si="29"/>
        <v>0</v>
      </c>
      <c r="L25" s="23">
        <f>K25+37</f>
        <v>37</v>
      </c>
      <c r="M25" s="23">
        <f t="shared" si="32"/>
        <v>37</v>
      </c>
      <c r="N25" s="23">
        <f t="shared" si="19"/>
        <v>37</v>
      </c>
      <c r="O25" s="23">
        <f t="shared" si="30"/>
        <v>37</v>
      </c>
      <c r="P25" s="23">
        <f t="shared" si="27"/>
        <v>37</v>
      </c>
      <c r="Q25" s="23">
        <f t="shared" si="25"/>
        <v>37</v>
      </c>
      <c r="R25" s="23">
        <f t="shared" si="34"/>
        <v>37</v>
      </c>
      <c r="S25" s="23">
        <f t="shared" si="36"/>
        <v>37</v>
      </c>
      <c r="T25" s="23">
        <f t="shared" si="35"/>
        <v>37</v>
      </c>
      <c r="U25" s="23">
        <f t="shared" si="20"/>
        <v>37</v>
      </c>
      <c r="V25" s="23">
        <f>U25+0</f>
        <v>37</v>
      </c>
      <c r="W25" s="23">
        <f>V25+0</f>
        <v>37</v>
      </c>
      <c r="X25" s="23">
        <f>W25+6</f>
        <v>43</v>
      </c>
      <c r="Y25" s="23">
        <f t="shared" si="12"/>
        <v>43</v>
      </c>
      <c r="Z25" s="23">
        <f t="shared" si="12"/>
        <v>43</v>
      </c>
      <c r="AA25" s="23">
        <f t="shared" si="12"/>
        <v>43</v>
      </c>
      <c r="AB25" s="23">
        <f t="shared" si="22"/>
        <v>43</v>
      </c>
      <c r="AC25" s="23">
        <f t="shared" ref="AC25:AE34" si="39">AB25+0</f>
        <v>43</v>
      </c>
      <c r="AD25" s="23">
        <f t="shared" si="39"/>
        <v>43</v>
      </c>
      <c r="AE25" s="23">
        <f t="shared" si="39"/>
        <v>43</v>
      </c>
      <c r="AF25" s="23">
        <f>AE25+1</f>
        <v>44</v>
      </c>
      <c r="AG25" s="23">
        <f t="shared" si="23"/>
        <v>44</v>
      </c>
      <c r="AH25" s="23">
        <f t="shared" si="18"/>
        <v>44</v>
      </c>
      <c r="AI25" s="23">
        <f t="shared" si="18"/>
        <v>44</v>
      </c>
      <c r="AJ25" s="23">
        <f t="shared" si="18"/>
        <v>44</v>
      </c>
      <c r="AK25" s="23">
        <f t="shared" si="18"/>
        <v>44</v>
      </c>
      <c r="AL25" s="81">
        <v>0</v>
      </c>
      <c r="AM25" s="4">
        <v>1</v>
      </c>
      <c r="AN25" s="15" t="s">
        <v>138</v>
      </c>
      <c r="AO25" s="15" t="s">
        <v>139</v>
      </c>
      <c r="AP25" s="15">
        <v>1986</v>
      </c>
      <c r="AQ25" s="15" t="s">
        <v>211</v>
      </c>
    </row>
    <row r="26" spans="1:43" x14ac:dyDescent="0.3">
      <c r="A26" s="1">
        <v>17</v>
      </c>
      <c r="B26" s="23">
        <v>0</v>
      </c>
      <c r="C26" s="23">
        <f t="shared" si="37"/>
        <v>0</v>
      </c>
      <c r="D26" s="23">
        <f t="shared" si="37"/>
        <v>0</v>
      </c>
      <c r="E26" s="23">
        <f t="shared" si="37"/>
        <v>0</v>
      </c>
      <c r="F26" s="23">
        <f>E26+11</f>
        <v>11</v>
      </c>
      <c r="G26" s="23">
        <f t="shared" si="33"/>
        <v>11</v>
      </c>
      <c r="H26" s="23">
        <f t="shared" si="38"/>
        <v>11</v>
      </c>
      <c r="I26" s="23">
        <f t="shared" si="26"/>
        <v>11</v>
      </c>
      <c r="J26" s="23">
        <f t="shared" si="24"/>
        <v>11</v>
      </c>
      <c r="K26" s="23">
        <f>J26+2</f>
        <v>13</v>
      </c>
      <c r="L26" s="23">
        <f>K26+0</f>
        <v>13</v>
      </c>
      <c r="M26" s="23">
        <f t="shared" si="32"/>
        <v>13</v>
      </c>
      <c r="N26" s="23">
        <f t="shared" si="19"/>
        <v>13</v>
      </c>
      <c r="O26" s="23">
        <f t="shared" si="30"/>
        <v>13</v>
      </c>
      <c r="P26" s="23">
        <f t="shared" si="27"/>
        <v>13</v>
      </c>
      <c r="Q26" s="23">
        <f t="shared" si="25"/>
        <v>13</v>
      </c>
      <c r="R26" s="23">
        <f t="shared" si="34"/>
        <v>13</v>
      </c>
      <c r="S26" s="23">
        <f t="shared" si="36"/>
        <v>13</v>
      </c>
      <c r="T26" s="23">
        <f t="shared" si="35"/>
        <v>13</v>
      </c>
      <c r="U26" s="23">
        <f t="shared" si="20"/>
        <v>13</v>
      </c>
      <c r="V26" s="23">
        <f>U26+4</f>
        <v>17</v>
      </c>
      <c r="W26" s="23">
        <f>V26+0</f>
        <v>17</v>
      </c>
      <c r="X26" s="23">
        <f>W26+0</f>
        <v>17</v>
      </c>
      <c r="Y26" s="23">
        <f t="shared" si="12"/>
        <v>17</v>
      </c>
      <c r="Z26" s="23">
        <f t="shared" si="12"/>
        <v>17</v>
      </c>
      <c r="AA26" s="23">
        <f t="shared" si="12"/>
        <v>17</v>
      </c>
      <c r="AB26" s="23">
        <f t="shared" si="22"/>
        <v>17</v>
      </c>
      <c r="AC26" s="23">
        <f t="shared" si="39"/>
        <v>17</v>
      </c>
      <c r="AD26" s="23">
        <f t="shared" si="39"/>
        <v>17</v>
      </c>
      <c r="AE26" s="23">
        <f t="shared" si="39"/>
        <v>17</v>
      </c>
      <c r="AF26" s="23">
        <f>AE26+0</f>
        <v>17</v>
      </c>
      <c r="AG26" s="23">
        <f t="shared" si="23"/>
        <v>17</v>
      </c>
      <c r="AH26" s="23">
        <f t="shared" si="18"/>
        <v>17</v>
      </c>
      <c r="AI26" s="23">
        <f t="shared" si="18"/>
        <v>17</v>
      </c>
      <c r="AJ26" s="23">
        <f t="shared" si="18"/>
        <v>17</v>
      </c>
      <c r="AK26" s="23">
        <f t="shared" si="18"/>
        <v>17</v>
      </c>
      <c r="AL26" s="81">
        <v>60</v>
      </c>
      <c r="AM26" s="4">
        <v>1</v>
      </c>
      <c r="AN26" s="15" t="s">
        <v>138</v>
      </c>
      <c r="AO26" s="15" t="s">
        <v>139</v>
      </c>
      <c r="AP26" s="15">
        <v>1986</v>
      </c>
      <c r="AQ26" s="15" t="s">
        <v>211</v>
      </c>
    </row>
    <row r="27" spans="1:43" x14ac:dyDescent="0.3">
      <c r="A27" s="1">
        <v>54</v>
      </c>
      <c r="B27" s="23">
        <v>0</v>
      </c>
      <c r="C27" s="23">
        <f t="shared" si="37"/>
        <v>0</v>
      </c>
      <c r="D27" s="23">
        <f t="shared" si="37"/>
        <v>0</v>
      </c>
      <c r="E27" s="23">
        <f t="shared" si="37"/>
        <v>0</v>
      </c>
      <c r="F27" s="23">
        <f>E27+32</f>
        <v>32</v>
      </c>
      <c r="G27" s="23">
        <f t="shared" si="33"/>
        <v>32</v>
      </c>
      <c r="H27" s="23">
        <f t="shared" si="38"/>
        <v>32</v>
      </c>
      <c r="I27" s="23">
        <f t="shared" si="26"/>
        <v>32</v>
      </c>
      <c r="J27" s="23">
        <f t="shared" si="24"/>
        <v>32</v>
      </c>
      <c r="K27" s="23">
        <f>J27+0</f>
        <v>32</v>
      </c>
      <c r="L27" s="23">
        <f>K27+7</f>
        <v>39</v>
      </c>
      <c r="M27" s="23">
        <f t="shared" si="32"/>
        <v>39</v>
      </c>
      <c r="N27" s="23">
        <f t="shared" si="19"/>
        <v>39</v>
      </c>
      <c r="O27" s="23">
        <f t="shared" si="30"/>
        <v>39</v>
      </c>
      <c r="P27" s="23">
        <f t="shared" si="27"/>
        <v>39</v>
      </c>
      <c r="Q27" s="23">
        <f t="shared" si="25"/>
        <v>39</v>
      </c>
      <c r="R27" s="23">
        <f t="shared" si="34"/>
        <v>39</v>
      </c>
      <c r="S27" s="23">
        <f t="shared" si="36"/>
        <v>39</v>
      </c>
      <c r="T27" s="23">
        <f t="shared" si="35"/>
        <v>39</v>
      </c>
      <c r="U27" s="23">
        <f t="shared" si="20"/>
        <v>39</v>
      </c>
      <c r="V27" s="23">
        <f>U27+15</f>
        <v>54</v>
      </c>
      <c r="W27" s="23">
        <f>V27+0</f>
        <v>54</v>
      </c>
      <c r="X27" s="23">
        <f>W27+0</f>
        <v>54</v>
      </c>
      <c r="Y27" s="23">
        <f t="shared" si="12"/>
        <v>54</v>
      </c>
      <c r="Z27" s="23">
        <f t="shared" si="12"/>
        <v>54</v>
      </c>
      <c r="AA27" s="23">
        <f t="shared" si="12"/>
        <v>54</v>
      </c>
      <c r="AB27" s="23">
        <f t="shared" si="22"/>
        <v>54</v>
      </c>
      <c r="AC27" s="23">
        <f t="shared" si="39"/>
        <v>54</v>
      </c>
      <c r="AD27" s="23">
        <f t="shared" si="39"/>
        <v>54</v>
      </c>
      <c r="AE27" s="23">
        <f t="shared" si="39"/>
        <v>54</v>
      </c>
      <c r="AF27" s="23">
        <f>AE27+0</f>
        <v>54</v>
      </c>
      <c r="AG27" s="23">
        <f t="shared" si="23"/>
        <v>54</v>
      </c>
      <c r="AH27" s="23">
        <f t="shared" si="18"/>
        <v>54</v>
      </c>
      <c r="AI27" s="23">
        <f t="shared" si="18"/>
        <v>54</v>
      </c>
      <c r="AJ27" s="23">
        <f t="shared" si="18"/>
        <v>54</v>
      </c>
      <c r="AK27" s="23">
        <f t="shared" si="18"/>
        <v>54</v>
      </c>
      <c r="AL27" s="81">
        <v>60</v>
      </c>
      <c r="AM27" s="4">
        <v>2</v>
      </c>
      <c r="AN27" s="15" t="s">
        <v>142</v>
      </c>
      <c r="AO27" s="15" t="s">
        <v>139</v>
      </c>
      <c r="AP27" s="15">
        <v>1986</v>
      </c>
      <c r="AQ27" s="15" t="s">
        <v>211</v>
      </c>
    </row>
    <row r="28" spans="1:43" x14ac:dyDescent="0.3">
      <c r="A28" s="1">
        <v>44</v>
      </c>
      <c r="B28" s="23">
        <v>0</v>
      </c>
      <c r="C28" s="23">
        <f t="shared" si="37"/>
        <v>0</v>
      </c>
      <c r="D28" s="23">
        <f t="shared" si="37"/>
        <v>0</v>
      </c>
      <c r="E28" s="23">
        <f t="shared" si="37"/>
        <v>0</v>
      </c>
      <c r="F28" s="23">
        <f>E28+0</f>
        <v>0</v>
      </c>
      <c r="G28" s="23">
        <f t="shared" si="33"/>
        <v>0</v>
      </c>
      <c r="H28" s="23">
        <f t="shared" si="38"/>
        <v>0</v>
      </c>
      <c r="I28" s="23">
        <f t="shared" si="26"/>
        <v>0</v>
      </c>
      <c r="J28" s="23">
        <f t="shared" si="24"/>
        <v>0</v>
      </c>
      <c r="K28" s="23">
        <f>J28+0</f>
        <v>0</v>
      </c>
      <c r="L28" s="23">
        <f>K28+30</f>
        <v>30</v>
      </c>
      <c r="M28" s="23">
        <f t="shared" si="32"/>
        <v>30</v>
      </c>
      <c r="N28" s="23">
        <f t="shared" si="19"/>
        <v>30</v>
      </c>
      <c r="O28" s="23">
        <f t="shared" si="30"/>
        <v>30</v>
      </c>
      <c r="P28" s="23">
        <f t="shared" si="27"/>
        <v>30</v>
      </c>
      <c r="Q28" s="23">
        <f t="shared" si="25"/>
        <v>30</v>
      </c>
      <c r="R28" s="23">
        <f t="shared" si="34"/>
        <v>30</v>
      </c>
      <c r="S28" s="23">
        <f t="shared" si="36"/>
        <v>30</v>
      </c>
      <c r="T28" s="23">
        <f t="shared" si="35"/>
        <v>30</v>
      </c>
      <c r="U28" s="23">
        <f t="shared" si="20"/>
        <v>30</v>
      </c>
      <c r="V28" s="23">
        <f>U28+0</f>
        <v>30</v>
      </c>
      <c r="W28" s="23">
        <f>V28+0</f>
        <v>30</v>
      </c>
      <c r="X28" s="23">
        <f>W28+6</f>
        <v>36</v>
      </c>
      <c r="Y28" s="23">
        <f t="shared" si="12"/>
        <v>36</v>
      </c>
      <c r="Z28" s="23">
        <f t="shared" si="12"/>
        <v>36</v>
      </c>
      <c r="AA28" s="23">
        <f t="shared" si="12"/>
        <v>36</v>
      </c>
      <c r="AB28" s="23">
        <f t="shared" si="22"/>
        <v>36</v>
      </c>
      <c r="AC28" s="23">
        <f t="shared" si="39"/>
        <v>36</v>
      </c>
      <c r="AD28" s="23">
        <f t="shared" si="39"/>
        <v>36</v>
      </c>
      <c r="AE28" s="23">
        <f t="shared" si="39"/>
        <v>36</v>
      </c>
      <c r="AF28" s="23">
        <f>AE28+8</f>
        <v>44</v>
      </c>
      <c r="AG28" s="23">
        <f t="shared" si="23"/>
        <v>44</v>
      </c>
      <c r="AH28" s="23">
        <f t="shared" si="18"/>
        <v>44</v>
      </c>
      <c r="AI28" s="23">
        <f t="shared" si="18"/>
        <v>44</v>
      </c>
      <c r="AJ28" s="23">
        <f t="shared" si="18"/>
        <v>44</v>
      </c>
      <c r="AK28" s="23">
        <f t="shared" si="18"/>
        <v>44</v>
      </c>
      <c r="AL28" s="81">
        <v>0</v>
      </c>
      <c r="AM28" s="4">
        <v>2</v>
      </c>
      <c r="AN28" s="15" t="s">
        <v>138</v>
      </c>
      <c r="AO28" s="15" t="s">
        <v>139</v>
      </c>
      <c r="AP28" s="15">
        <v>1986</v>
      </c>
      <c r="AQ28" s="15" t="s">
        <v>211</v>
      </c>
    </row>
    <row r="29" spans="1:43" x14ac:dyDescent="0.3">
      <c r="A29" s="1">
        <v>14</v>
      </c>
      <c r="B29" s="23">
        <v>0</v>
      </c>
      <c r="C29" s="23">
        <f t="shared" si="37"/>
        <v>0</v>
      </c>
      <c r="D29" s="23">
        <f t="shared" si="37"/>
        <v>0</v>
      </c>
      <c r="E29" s="23">
        <f t="shared" si="37"/>
        <v>0</v>
      </c>
      <c r="F29" s="23">
        <f>E29+6</f>
        <v>6</v>
      </c>
      <c r="G29" s="23">
        <f t="shared" si="33"/>
        <v>6</v>
      </c>
      <c r="H29" s="23">
        <f t="shared" si="38"/>
        <v>6</v>
      </c>
      <c r="I29" s="23">
        <f t="shared" si="26"/>
        <v>6</v>
      </c>
      <c r="J29" s="23">
        <f t="shared" si="24"/>
        <v>6</v>
      </c>
      <c r="K29" s="23">
        <f>J29+3</f>
        <v>9</v>
      </c>
      <c r="L29" s="23">
        <f>K29+0</f>
        <v>9</v>
      </c>
      <c r="M29" s="23">
        <f t="shared" si="32"/>
        <v>9</v>
      </c>
      <c r="N29" s="23">
        <f t="shared" si="19"/>
        <v>9</v>
      </c>
      <c r="O29" s="23">
        <f t="shared" si="30"/>
        <v>9</v>
      </c>
      <c r="P29" s="23">
        <f t="shared" si="27"/>
        <v>9</v>
      </c>
      <c r="Q29" s="23">
        <f t="shared" si="25"/>
        <v>9</v>
      </c>
      <c r="R29" s="23">
        <f t="shared" si="34"/>
        <v>9</v>
      </c>
      <c r="S29" s="23">
        <f t="shared" si="36"/>
        <v>9</v>
      </c>
      <c r="T29" s="23">
        <f t="shared" si="35"/>
        <v>9</v>
      </c>
      <c r="U29" s="23">
        <f t="shared" si="20"/>
        <v>9</v>
      </c>
      <c r="V29" s="23">
        <f>U29+5</f>
        <v>14</v>
      </c>
      <c r="W29" s="23">
        <f>V29+0</f>
        <v>14</v>
      </c>
      <c r="X29" s="23">
        <f>W29+0</f>
        <v>14</v>
      </c>
      <c r="Y29" s="23">
        <f t="shared" si="12"/>
        <v>14</v>
      </c>
      <c r="Z29" s="23">
        <f t="shared" si="12"/>
        <v>14</v>
      </c>
      <c r="AA29" s="23">
        <f t="shared" si="12"/>
        <v>14</v>
      </c>
      <c r="AB29" s="23">
        <f t="shared" si="22"/>
        <v>14</v>
      </c>
      <c r="AC29" s="23">
        <f t="shared" si="39"/>
        <v>14</v>
      </c>
      <c r="AD29" s="23">
        <f t="shared" si="39"/>
        <v>14</v>
      </c>
      <c r="AE29" s="23">
        <f t="shared" si="39"/>
        <v>14</v>
      </c>
      <c r="AF29" s="23">
        <f>AE29+0</f>
        <v>14</v>
      </c>
      <c r="AG29" s="23">
        <f t="shared" si="23"/>
        <v>14</v>
      </c>
      <c r="AH29" s="23">
        <f t="shared" si="18"/>
        <v>14</v>
      </c>
      <c r="AI29" s="23">
        <f t="shared" si="18"/>
        <v>14</v>
      </c>
      <c r="AJ29" s="23">
        <f t="shared" si="18"/>
        <v>14</v>
      </c>
      <c r="AK29" s="23">
        <f t="shared" si="18"/>
        <v>14</v>
      </c>
      <c r="AL29" s="81">
        <v>60</v>
      </c>
      <c r="AM29" s="4">
        <v>2</v>
      </c>
      <c r="AN29" s="15" t="s">
        <v>138</v>
      </c>
      <c r="AO29" s="15" t="s">
        <v>139</v>
      </c>
      <c r="AP29" s="15">
        <v>1986</v>
      </c>
      <c r="AQ29" s="15" t="s">
        <v>211</v>
      </c>
    </row>
    <row r="30" spans="1:43" x14ac:dyDescent="0.3">
      <c r="A30" s="1">
        <v>79</v>
      </c>
      <c r="B30" s="23">
        <v>0</v>
      </c>
      <c r="C30" s="23">
        <f t="shared" si="37"/>
        <v>0</v>
      </c>
      <c r="D30" s="23">
        <f t="shared" si="37"/>
        <v>0</v>
      </c>
      <c r="E30" s="23">
        <f t="shared" si="37"/>
        <v>0</v>
      </c>
      <c r="F30" s="23">
        <f>E30+0</f>
        <v>0</v>
      </c>
      <c r="G30" s="23">
        <f t="shared" si="33"/>
        <v>0</v>
      </c>
      <c r="H30" s="23">
        <f t="shared" si="38"/>
        <v>0</v>
      </c>
      <c r="I30" s="23">
        <f t="shared" si="26"/>
        <v>0</v>
      </c>
      <c r="J30" s="23">
        <f t="shared" si="24"/>
        <v>0</v>
      </c>
      <c r="K30" s="23">
        <f>J30+25</f>
        <v>25</v>
      </c>
      <c r="L30" s="23">
        <f>K30+0</f>
        <v>25</v>
      </c>
      <c r="M30" s="23">
        <f t="shared" si="32"/>
        <v>25</v>
      </c>
      <c r="N30" s="23">
        <f t="shared" si="19"/>
        <v>25</v>
      </c>
      <c r="O30" s="23">
        <f t="shared" si="30"/>
        <v>25</v>
      </c>
      <c r="P30" s="23">
        <f t="shared" si="27"/>
        <v>25</v>
      </c>
      <c r="Q30" s="23">
        <f t="shared" si="25"/>
        <v>25</v>
      </c>
      <c r="R30" s="23">
        <f t="shared" si="34"/>
        <v>25</v>
      </c>
      <c r="S30" s="23">
        <f t="shared" si="36"/>
        <v>25</v>
      </c>
      <c r="T30" s="23">
        <f t="shared" si="35"/>
        <v>25</v>
      </c>
      <c r="U30" s="23">
        <f t="shared" si="20"/>
        <v>25</v>
      </c>
      <c r="V30" s="23">
        <f>U30+54</f>
        <v>79</v>
      </c>
      <c r="W30" s="23">
        <f>V30+0</f>
        <v>79</v>
      </c>
      <c r="X30" s="23">
        <f>W30+0</f>
        <v>79</v>
      </c>
      <c r="Y30" s="23">
        <f t="shared" si="12"/>
        <v>79</v>
      </c>
      <c r="Z30" s="23">
        <f t="shared" si="12"/>
        <v>79</v>
      </c>
      <c r="AA30" s="23">
        <f t="shared" si="12"/>
        <v>79</v>
      </c>
      <c r="AB30" s="23">
        <f t="shared" si="22"/>
        <v>79</v>
      </c>
      <c r="AC30" s="23">
        <f t="shared" si="39"/>
        <v>79</v>
      </c>
      <c r="AD30" s="23">
        <f t="shared" si="39"/>
        <v>79</v>
      </c>
      <c r="AE30" s="23">
        <f t="shared" si="39"/>
        <v>79</v>
      </c>
      <c r="AF30" s="23">
        <f>AE30+0</f>
        <v>79</v>
      </c>
      <c r="AG30" s="23">
        <f t="shared" si="23"/>
        <v>79</v>
      </c>
      <c r="AH30" s="23">
        <f t="shared" si="18"/>
        <v>79</v>
      </c>
      <c r="AI30" s="23">
        <f t="shared" si="18"/>
        <v>79</v>
      </c>
      <c r="AJ30" s="23">
        <f t="shared" si="18"/>
        <v>79</v>
      </c>
      <c r="AK30" s="23">
        <f t="shared" si="18"/>
        <v>79</v>
      </c>
      <c r="AL30" s="81">
        <v>60</v>
      </c>
      <c r="AM30" s="4">
        <v>3</v>
      </c>
      <c r="AN30" s="15" t="s">
        <v>142</v>
      </c>
      <c r="AO30" s="15" t="s">
        <v>139</v>
      </c>
      <c r="AP30" s="15">
        <v>1986</v>
      </c>
      <c r="AQ30" s="15" t="s">
        <v>211</v>
      </c>
    </row>
    <row r="31" spans="1:43" x14ac:dyDescent="0.3">
      <c r="A31" s="1">
        <v>24</v>
      </c>
      <c r="B31" s="23">
        <v>0</v>
      </c>
      <c r="C31" s="23">
        <f t="shared" si="37"/>
        <v>0</v>
      </c>
      <c r="D31" s="23">
        <f t="shared" si="37"/>
        <v>0</v>
      </c>
      <c r="E31" s="23">
        <f t="shared" si="37"/>
        <v>0</v>
      </c>
      <c r="F31" s="23">
        <f>E31+0</f>
        <v>0</v>
      </c>
      <c r="G31" s="23">
        <f t="shared" si="33"/>
        <v>0</v>
      </c>
      <c r="H31" s="23">
        <f t="shared" si="38"/>
        <v>0</v>
      </c>
      <c r="I31" s="23">
        <f t="shared" si="26"/>
        <v>0</v>
      </c>
      <c r="J31" s="23">
        <f t="shared" si="24"/>
        <v>0</v>
      </c>
      <c r="K31" s="23">
        <f>J31+0</f>
        <v>0</v>
      </c>
      <c r="L31" s="23">
        <f>K31+3</f>
        <v>3</v>
      </c>
      <c r="M31" s="23">
        <f t="shared" si="32"/>
        <v>3</v>
      </c>
      <c r="N31" s="23">
        <f t="shared" si="19"/>
        <v>3</v>
      </c>
      <c r="O31" s="23">
        <f t="shared" si="30"/>
        <v>3</v>
      </c>
      <c r="P31" s="23">
        <f t="shared" si="27"/>
        <v>3</v>
      </c>
      <c r="Q31" s="23">
        <f t="shared" si="25"/>
        <v>3</v>
      </c>
      <c r="R31" s="23">
        <f t="shared" si="34"/>
        <v>3</v>
      </c>
      <c r="S31" s="23">
        <f t="shared" si="36"/>
        <v>3</v>
      </c>
      <c r="T31" s="23">
        <f t="shared" si="35"/>
        <v>3</v>
      </c>
      <c r="U31" s="23">
        <f t="shared" si="20"/>
        <v>3</v>
      </c>
      <c r="V31" s="23">
        <f>U31+0</f>
        <v>3</v>
      </c>
      <c r="W31" s="23">
        <f>V31+0</f>
        <v>3</v>
      </c>
      <c r="X31" s="23">
        <f>W31+14</f>
        <v>17</v>
      </c>
      <c r="Y31" s="23">
        <f t="shared" si="12"/>
        <v>17</v>
      </c>
      <c r="Z31" s="23">
        <f t="shared" si="12"/>
        <v>17</v>
      </c>
      <c r="AA31" s="23">
        <f t="shared" si="12"/>
        <v>17</v>
      </c>
      <c r="AB31" s="23">
        <f t="shared" si="22"/>
        <v>17</v>
      </c>
      <c r="AC31" s="23">
        <f t="shared" si="39"/>
        <v>17</v>
      </c>
      <c r="AD31" s="23">
        <f t="shared" si="39"/>
        <v>17</v>
      </c>
      <c r="AE31" s="23">
        <f t="shared" si="39"/>
        <v>17</v>
      </c>
      <c r="AF31" s="23">
        <f>AE31+7</f>
        <v>24</v>
      </c>
      <c r="AG31" s="23">
        <f t="shared" si="23"/>
        <v>24</v>
      </c>
      <c r="AH31" s="23">
        <f t="shared" si="18"/>
        <v>24</v>
      </c>
      <c r="AI31" s="23">
        <f t="shared" si="18"/>
        <v>24</v>
      </c>
      <c r="AJ31" s="23">
        <f t="shared" si="18"/>
        <v>24</v>
      </c>
      <c r="AK31" s="23">
        <f t="shared" si="18"/>
        <v>24</v>
      </c>
      <c r="AL31" s="81">
        <v>0</v>
      </c>
      <c r="AM31" s="4">
        <v>3</v>
      </c>
      <c r="AN31" s="15" t="s">
        <v>138</v>
      </c>
      <c r="AO31" s="15" t="s">
        <v>139</v>
      </c>
      <c r="AP31" s="15">
        <v>1986</v>
      </c>
      <c r="AQ31" s="15" t="s">
        <v>211</v>
      </c>
    </row>
    <row r="32" spans="1:43" x14ac:dyDescent="0.3">
      <c r="A32" s="1">
        <v>49</v>
      </c>
      <c r="B32" s="23">
        <v>0</v>
      </c>
      <c r="C32" s="23">
        <f t="shared" si="37"/>
        <v>0</v>
      </c>
      <c r="D32" s="23">
        <f t="shared" si="37"/>
        <v>0</v>
      </c>
      <c r="E32" s="23">
        <f t="shared" si="37"/>
        <v>0</v>
      </c>
      <c r="F32" s="23">
        <f>E32+8</f>
        <v>8</v>
      </c>
      <c r="G32" s="23">
        <f t="shared" si="33"/>
        <v>8</v>
      </c>
      <c r="H32" s="23">
        <f t="shared" si="38"/>
        <v>8</v>
      </c>
      <c r="I32" s="23">
        <f t="shared" si="26"/>
        <v>8</v>
      </c>
      <c r="J32" s="23">
        <f t="shared" si="24"/>
        <v>8</v>
      </c>
      <c r="K32" s="23">
        <f>J32+18</f>
        <v>26</v>
      </c>
      <c r="L32" s="23">
        <f t="shared" ref="L32:L56" si="40">K32+0</f>
        <v>26</v>
      </c>
      <c r="M32" s="23">
        <f t="shared" si="32"/>
        <v>26</v>
      </c>
      <c r="N32" s="23">
        <f t="shared" si="19"/>
        <v>26</v>
      </c>
      <c r="O32" s="23">
        <f t="shared" si="30"/>
        <v>26</v>
      </c>
      <c r="P32" s="23">
        <f t="shared" si="27"/>
        <v>26</v>
      </c>
      <c r="Q32" s="23">
        <f t="shared" si="25"/>
        <v>26</v>
      </c>
      <c r="R32" s="23">
        <f t="shared" si="34"/>
        <v>26</v>
      </c>
      <c r="S32" s="23">
        <f t="shared" si="36"/>
        <v>26</v>
      </c>
      <c r="T32" s="23">
        <f t="shared" si="35"/>
        <v>26</v>
      </c>
      <c r="U32" s="23">
        <f t="shared" si="20"/>
        <v>26</v>
      </c>
      <c r="V32" s="23">
        <f>U32+23</f>
        <v>49</v>
      </c>
      <c r="W32" s="23">
        <f t="shared" ref="W32:X35" si="41">V32+0</f>
        <v>49</v>
      </c>
      <c r="X32" s="23">
        <f t="shared" si="41"/>
        <v>49</v>
      </c>
      <c r="Y32" s="23">
        <f t="shared" si="12"/>
        <v>49</v>
      </c>
      <c r="Z32" s="23">
        <f t="shared" si="12"/>
        <v>49</v>
      </c>
      <c r="AA32" s="23">
        <f t="shared" si="12"/>
        <v>49</v>
      </c>
      <c r="AB32" s="23">
        <f t="shared" si="22"/>
        <v>49</v>
      </c>
      <c r="AC32" s="23">
        <f t="shared" si="39"/>
        <v>49</v>
      </c>
      <c r="AD32" s="23">
        <f t="shared" si="39"/>
        <v>49</v>
      </c>
      <c r="AE32" s="23">
        <f t="shared" si="39"/>
        <v>49</v>
      </c>
      <c r="AF32" s="23">
        <f>AE32+0</f>
        <v>49</v>
      </c>
      <c r="AG32" s="23">
        <f t="shared" si="23"/>
        <v>49</v>
      </c>
      <c r="AH32" s="23">
        <f t="shared" si="18"/>
        <v>49</v>
      </c>
      <c r="AI32" s="23">
        <f t="shared" si="18"/>
        <v>49</v>
      </c>
      <c r="AJ32" s="23">
        <f t="shared" si="18"/>
        <v>49</v>
      </c>
      <c r="AK32" s="23">
        <f t="shared" si="18"/>
        <v>49</v>
      </c>
      <c r="AL32" s="81">
        <v>60</v>
      </c>
      <c r="AM32" s="4">
        <v>3</v>
      </c>
      <c r="AN32" s="15" t="s">
        <v>138</v>
      </c>
      <c r="AO32" s="15" t="s">
        <v>139</v>
      </c>
      <c r="AP32" s="15">
        <v>1986</v>
      </c>
      <c r="AQ32" s="15" t="s">
        <v>211</v>
      </c>
    </row>
    <row r="33" spans="1:44" x14ac:dyDescent="0.3">
      <c r="A33" s="1">
        <v>54</v>
      </c>
      <c r="B33" s="23">
        <v>0</v>
      </c>
      <c r="C33" s="23">
        <f t="shared" si="37"/>
        <v>0</v>
      </c>
      <c r="D33" s="23">
        <f t="shared" si="37"/>
        <v>0</v>
      </c>
      <c r="E33" s="23">
        <f t="shared" si="37"/>
        <v>0</v>
      </c>
      <c r="F33" s="23">
        <f>E33+11</f>
        <v>11</v>
      </c>
      <c r="G33" s="23">
        <f t="shared" si="33"/>
        <v>11</v>
      </c>
      <c r="H33" s="23">
        <f t="shared" si="38"/>
        <v>11</v>
      </c>
      <c r="I33" s="23">
        <f t="shared" si="26"/>
        <v>11</v>
      </c>
      <c r="J33" s="23">
        <f>I33+19</f>
        <v>30</v>
      </c>
      <c r="K33" s="23">
        <f>J33+0</f>
        <v>30</v>
      </c>
      <c r="L33" s="23">
        <f t="shared" si="40"/>
        <v>30</v>
      </c>
      <c r="M33" s="23">
        <f>L33+6</f>
        <v>36</v>
      </c>
      <c r="N33" s="23">
        <f t="shared" si="19"/>
        <v>36</v>
      </c>
      <c r="O33" s="23">
        <f t="shared" si="30"/>
        <v>36</v>
      </c>
      <c r="P33" s="23">
        <f t="shared" si="27"/>
        <v>36</v>
      </c>
      <c r="Q33" s="23">
        <f t="shared" si="25"/>
        <v>36</v>
      </c>
      <c r="R33" s="23">
        <f t="shared" si="34"/>
        <v>36</v>
      </c>
      <c r="S33" s="23">
        <f>R33+18</f>
        <v>54</v>
      </c>
      <c r="T33" s="23">
        <f t="shared" si="35"/>
        <v>54</v>
      </c>
      <c r="U33" s="23">
        <f t="shared" si="20"/>
        <v>54</v>
      </c>
      <c r="V33" s="23">
        <f t="shared" ref="V33:V44" si="42">U33+0</f>
        <v>54</v>
      </c>
      <c r="W33" s="23">
        <f t="shared" si="41"/>
        <v>54</v>
      </c>
      <c r="X33" s="23">
        <f t="shared" si="41"/>
        <v>54</v>
      </c>
      <c r="Y33" s="23">
        <f t="shared" si="12"/>
        <v>54</v>
      </c>
      <c r="Z33" s="23">
        <f t="shared" si="12"/>
        <v>54</v>
      </c>
      <c r="AA33" s="23">
        <f t="shared" si="12"/>
        <v>54</v>
      </c>
      <c r="AB33" s="23">
        <f t="shared" si="22"/>
        <v>54</v>
      </c>
      <c r="AC33" s="23">
        <f t="shared" si="39"/>
        <v>54</v>
      </c>
      <c r="AD33" s="23">
        <f t="shared" si="39"/>
        <v>54</v>
      </c>
      <c r="AE33" s="23">
        <f t="shared" si="39"/>
        <v>54</v>
      </c>
      <c r="AF33" s="23">
        <f>AE33+0</f>
        <v>54</v>
      </c>
      <c r="AG33" s="23">
        <f t="shared" si="23"/>
        <v>54</v>
      </c>
      <c r="AH33" s="23">
        <f t="shared" si="18"/>
        <v>54</v>
      </c>
      <c r="AI33" s="23">
        <f t="shared" si="18"/>
        <v>54</v>
      </c>
      <c r="AJ33" s="23">
        <f t="shared" si="18"/>
        <v>54</v>
      </c>
      <c r="AK33" s="23">
        <f t="shared" si="18"/>
        <v>54</v>
      </c>
      <c r="AL33" s="81">
        <v>30</v>
      </c>
      <c r="AM33" s="4">
        <v>1</v>
      </c>
      <c r="AN33" s="15" t="s">
        <v>152</v>
      </c>
      <c r="AO33" s="15" t="s">
        <v>153</v>
      </c>
      <c r="AP33" s="15">
        <v>2008</v>
      </c>
      <c r="AQ33" s="15" t="s">
        <v>154</v>
      </c>
    </row>
    <row r="34" spans="1:44" x14ac:dyDescent="0.3">
      <c r="A34" s="1">
        <v>74</v>
      </c>
      <c r="B34" s="23">
        <v>0</v>
      </c>
      <c r="C34" s="23">
        <f t="shared" si="37"/>
        <v>0</v>
      </c>
      <c r="D34" s="23">
        <f t="shared" si="37"/>
        <v>0</v>
      </c>
      <c r="E34" s="23">
        <f t="shared" si="37"/>
        <v>0</v>
      </c>
      <c r="F34" s="23">
        <f>E34+21</f>
        <v>21</v>
      </c>
      <c r="G34" s="23">
        <f t="shared" si="33"/>
        <v>21</v>
      </c>
      <c r="H34" s="23">
        <f t="shared" si="38"/>
        <v>21</v>
      </c>
      <c r="I34" s="23">
        <f t="shared" si="26"/>
        <v>21</v>
      </c>
      <c r="J34" s="23">
        <f>I34+31</f>
        <v>52</v>
      </c>
      <c r="K34" s="23">
        <f>J34+0</f>
        <v>52</v>
      </c>
      <c r="L34" s="23">
        <f t="shared" si="40"/>
        <v>52</v>
      </c>
      <c r="M34" s="23">
        <f>L34+4</f>
        <v>56</v>
      </c>
      <c r="N34" s="23">
        <f t="shared" si="19"/>
        <v>56</v>
      </c>
      <c r="O34" s="23">
        <f t="shared" si="30"/>
        <v>56</v>
      </c>
      <c r="P34" s="23">
        <f t="shared" si="27"/>
        <v>56</v>
      </c>
      <c r="Q34" s="23">
        <f t="shared" si="25"/>
        <v>56</v>
      </c>
      <c r="R34" s="23">
        <f t="shared" si="34"/>
        <v>56</v>
      </c>
      <c r="S34" s="23">
        <f>R34+18</f>
        <v>74</v>
      </c>
      <c r="T34" s="23">
        <f t="shared" si="35"/>
        <v>74</v>
      </c>
      <c r="U34" s="23">
        <f t="shared" si="20"/>
        <v>74</v>
      </c>
      <c r="V34" s="23">
        <f t="shared" si="42"/>
        <v>74</v>
      </c>
      <c r="W34" s="23">
        <f t="shared" si="41"/>
        <v>74</v>
      </c>
      <c r="X34" s="23">
        <f t="shared" si="41"/>
        <v>74</v>
      </c>
      <c r="Y34" s="23">
        <f t="shared" si="12"/>
        <v>74</v>
      </c>
      <c r="Z34" s="23">
        <f t="shared" si="12"/>
        <v>74</v>
      </c>
      <c r="AA34" s="23">
        <f t="shared" si="12"/>
        <v>74</v>
      </c>
      <c r="AB34" s="23">
        <f t="shared" si="22"/>
        <v>74</v>
      </c>
      <c r="AC34" s="23">
        <f t="shared" si="39"/>
        <v>74</v>
      </c>
      <c r="AD34" s="23">
        <f t="shared" si="39"/>
        <v>74</v>
      </c>
      <c r="AE34" s="23">
        <f t="shared" si="39"/>
        <v>74</v>
      </c>
      <c r="AF34" s="23">
        <f>AE34+0</f>
        <v>74</v>
      </c>
      <c r="AG34" s="23">
        <f t="shared" si="23"/>
        <v>74</v>
      </c>
      <c r="AH34" s="23">
        <f t="shared" si="18"/>
        <v>74</v>
      </c>
      <c r="AI34" s="23">
        <f t="shared" si="18"/>
        <v>74</v>
      </c>
      <c r="AJ34" s="23">
        <f t="shared" si="18"/>
        <v>74</v>
      </c>
      <c r="AK34" s="23">
        <f t="shared" si="18"/>
        <v>74</v>
      </c>
      <c r="AL34" s="81">
        <v>30</v>
      </c>
      <c r="AM34" s="4">
        <v>1</v>
      </c>
      <c r="AN34" s="15" t="s">
        <v>156</v>
      </c>
      <c r="AO34" s="15" t="s">
        <v>153</v>
      </c>
      <c r="AP34" s="15">
        <v>2008</v>
      </c>
      <c r="AQ34" s="15" t="s">
        <v>154</v>
      </c>
    </row>
    <row r="35" spans="1:44" x14ac:dyDescent="0.3">
      <c r="A35" s="1">
        <v>110</v>
      </c>
      <c r="B35" s="23">
        <v>0</v>
      </c>
      <c r="C35" s="23">
        <f t="shared" si="37"/>
        <v>0</v>
      </c>
      <c r="D35" s="23">
        <f t="shared" si="37"/>
        <v>0</v>
      </c>
      <c r="E35" s="23">
        <f t="shared" si="37"/>
        <v>0</v>
      </c>
      <c r="F35" s="23">
        <f>E35+0</f>
        <v>0</v>
      </c>
      <c r="G35" s="23">
        <f t="shared" si="33"/>
        <v>0</v>
      </c>
      <c r="H35" s="23">
        <f>G35+36</f>
        <v>36</v>
      </c>
      <c r="I35" s="23">
        <f t="shared" si="26"/>
        <v>36</v>
      </c>
      <c r="J35" s="23">
        <f t="shared" ref="J35:J44" si="43">I35+0</f>
        <v>36</v>
      </c>
      <c r="K35" s="23">
        <f>J35+1</f>
        <v>37</v>
      </c>
      <c r="L35" s="23">
        <f t="shared" si="40"/>
        <v>37</v>
      </c>
      <c r="M35" s="23">
        <f t="shared" ref="M35:M41" si="44">L35+0</f>
        <v>37</v>
      </c>
      <c r="N35" s="23">
        <f t="shared" si="19"/>
        <v>37</v>
      </c>
      <c r="O35" s="23">
        <f>N35+16</f>
        <v>53</v>
      </c>
      <c r="P35" s="23">
        <f t="shared" si="27"/>
        <v>53</v>
      </c>
      <c r="Q35" s="23">
        <f t="shared" si="25"/>
        <v>53</v>
      </c>
      <c r="R35" s="23">
        <f t="shared" si="34"/>
        <v>53</v>
      </c>
      <c r="S35" s="23">
        <f t="shared" ref="S35:S58" si="45">R35+0</f>
        <v>53</v>
      </c>
      <c r="T35" s="23">
        <f>S35+12</f>
        <v>65</v>
      </c>
      <c r="U35" s="23">
        <f t="shared" si="20"/>
        <v>65</v>
      </c>
      <c r="V35" s="23">
        <f t="shared" si="42"/>
        <v>65</v>
      </c>
      <c r="W35" s="23">
        <f t="shared" si="41"/>
        <v>65</v>
      </c>
      <c r="X35" s="23">
        <f t="shared" si="41"/>
        <v>65</v>
      </c>
      <c r="Y35" s="23">
        <f>X35+24</f>
        <v>89</v>
      </c>
      <c r="Z35" s="23">
        <f t="shared" ref="Z35:AA58" si="46">Y35+0</f>
        <v>89</v>
      </c>
      <c r="AA35" s="23">
        <f t="shared" si="46"/>
        <v>89</v>
      </c>
      <c r="AB35" s="23">
        <f t="shared" si="22"/>
        <v>89</v>
      </c>
      <c r="AC35" s="23">
        <f t="shared" ref="AC35:AC59" si="47">AB35+0</f>
        <v>89</v>
      </c>
      <c r="AD35" s="23">
        <f>AC35+5</f>
        <v>94</v>
      </c>
      <c r="AE35" s="23">
        <f t="shared" ref="AE35:AE52" si="48">AD35+0</f>
        <v>94</v>
      </c>
      <c r="AF35" s="23">
        <f>AE35+8</f>
        <v>102</v>
      </c>
      <c r="AG35" s="23">
        <f>AF35+4</f>
        <v>106</v>
      </c>
      <c r="AH35" s="23">
        <f>AG35+3</f>
        <v>109</v>
      </c>
      <c r="AI35" s="23">
        <f t="shared" ref="AI35:AJ54" si="49">AH35+0</f>
        <v>109</v>
      </c>
      <c r="AJ35" s="23">
        <f t="shared" si="49"/>
        <v>109</v>
      </c>
      <c r="AK35" s="23">
        <f>AJ35+1</f>
        <v>110</v>
      </c>
      <c r="AL35" s="81">
        <v>540</v>
      </c>
      <c r="AM35" s="4">
        <v>1</v>
      </c>
      <c r="AN35" s="15" t="s">
        <v>413</v>
      </c>
      <c r="AO35" s="15" t="s">
        <v>411</v>
      </c>
      <c r="AP35" s="15">
        <v>1957.02</v>
      </c>
      <c r="AQ35" s="15" t="s">
        <v>412</v>
      </c>
      <c r="AR35" s="15" t="s">
        <v>439</v>
      </c>
    </row>
    <row r="36" spans="1:44" x14ac:dyDescent="0.3">
      <c r="A36" s="1">
        <v>15</v>
      </c>
      <c r="B36" s="23">
        <v>1</v>
      </c>
      <c r="C36" s="23">
        <f>B36+0</f>
        <v>1</v>
      </c>
      <c r="D36" s="23">
        <f>C36+0</f>
        <v>1</v>
      </c>
      <c r="E36" s="23">
        <f>D36+1</f>
        <v>2</v>
      </c>
      <c r="F36" s="23">
        <f>E36+0</f>
        <v>2</v>
      </c>
      <c r="G36" s="23">
        <f>F36+4</f>
        <v>6</v>
      </c>
      <c r="H36" s="23">
        <f t="shared" ref="H36:H59" si="50">G36+0</f>
        <v>6</v>
      </c>
      <c r="I36" s="23">
        <f>H36+1</f>
        <v>7</v>
      </c>
      <c r="J36" s="23">
        <f t="shared" si="43"/>
        <v>7</v>
      </c>
      <c r="K36" s="23">
        <f>J36+3</f>
        <v>10</v>
      </c>
      <c r="L36" s="23">
        <f t="shared" si="40"/>
        <v>10</v>
      </c>
      <c r="M36" s="23">
        <f t="shared" si="44"/>
        <v>10</v>
      </c>
      <c r="N36" s="23">
        <f t="shared" si="19"/>
        <v>10</v>
      </c>
      <c r="O36" s="23">
        <f t="shared" ref="O36:O59" si="51">N36+0</f>
        <v>10</v>
      </c>
      <c r="P36" s="23">
        <f>O36+2</f>
        <v>12</v>
      </c>
      <c r="Q36" s="23">
        <f t="shared" si="25"/>
        <v>12</v>
      </c>
      <c r="R36" s="23">
        <f t="shared" si="34"/>
        <v>12</v>
      </c>
      <c r="S36" s="23">
        <f t="shared" si="45"/>
        <v>12</v>
      </c>
      <c r="T36" s="23">
        <f t="shared" ref="T36:T67" si="52">S36+0</f>
        <v>12</v>
      </c>
      <c r="U36" s="23">
        <f>T36+2</f>
        <v>14</v>
      </c>
      <c r="V36" s="23">
        <f t="shared" si="42"/>
        <v>14</v>
      </c>
      <c r="W36" s="23">
        <f t="shared" ref="W36:W41" si="53">V36+0</f>
        <v>14</v>
      </c>
      <c r="X36" s="23">
        <f>W36+1</f>
        <v>15</v>
      </c>
      <c r="Y36" s="23">
        <f t="shared" ref="Y36:Y67" si="54">X36+0</f>
        <v>15</v>
      </c>
      <c r="Z36" s="23">
        <f t="shared" si="46"/>
        <v>15</v>
      </c>
      <c r="AA36" s="23">
        <f t="shared" si="46"/>
        <v>15</v>
      </c>
      <c r="AB36" s="23">
        <f t="shared" si="22"/>
        <v>15</v>
      </c>
      <c r="AC36" s="23">
        <f t="shared" si="47"/>
        <v>15</v>
      </c>
      <c r="AD36" s="23">
        <f t="shared" ref="AD36:AD67" si="55">AC36+0</f>
        <v>15</v>
      </c>
      <c r="AE36" s="23">
        <f t="shared" si="48"/>
        <v>15</v>
      </c>
      <c r="AF36" s="23">
        <f t="shared" ref="AF36:AH59" si="56">AE36+0</f>
        <v>15</v>
      </c>
      <c r="AG36" s="23">
        <f t="shared" si="56"/>
        <v>15</v>
      </c>
      <c r="AH36" s="23">
        <f t="shared" si="56"/>
        <v>15</v>
      </c>
      <c r="AI36" s="23">
        <f t="shared" si="49"/>
        <v>15</v>
      </c>
      <c r="AJ36" s="23">
        <f t="shared" si="49"/>
        <v>15</v>
      </c>
      <c r="AK36" s="23">
        <f t="shared" ref="AK36:AK67" si="57">AJ36+0</f>
        <v>15</v>
      </c>
      <c r="AL36" s="81">
        <v>1460</v>
      </c>
      <c r="AM36" s="4">
        <v>1</v>
      </c>
      <c r="AN36" s="15" t="s">
        <v>437</v>
      </c>
      <c r="AO36" s="15" t="s">
        <v>411</v>
      </c>
      <c r="AP36" s="15">
        <v>1959.08</v>
      </c>
      <c r="AQ36" s="15" t="s">
        <v>412</v>
      </c>
      <c r="AR36" s="15" t="s">
        <v>436</v>
      </c>
    </row>
    <row r="37" spans="1:44" x14ac:dyDescent="0.3">
      <c r="A37" s="1">
        <v>7</v>
      </c>
      <c r="B37" s="23">
        <v>0</v>
      </c>
      <c r="C37" s="23">
        <f>B37+1</f>
        <v>1</v>
      </c>
      <c r="D37" s="23">
        <f t="shared" ref="D37:E39" si="58">C37+0</f>
        <v>1</v>
      </c>
      <c r="E37" s="23">
        <f t="shared" si="58"/>
        <v>1</v>
      </c>
      <c r="F37" s="23">
        <f>E37+4</f>
        <v>5</v>
      </c>
      <c r="G37" s="23">
        <f t="shared" ref="G37:G56" si="59">F37+0</f>
        <v>5</v>
      </c>
      <c r="H37" s="23">
        <f t="shared" si="50"/>
        <v>5</v>
      </c>
      <c r="I37" s="23">
        <f>H37+1</f>
        <v>6</v>
      </c>
      <c r="J37" s="23">
        <f t="shared" si="43"/>
        <v>6</v>
      </c>
      <c r="K37" s="23">
        <f>J37+1</f>
        <v>7</v>
      </c>
      <c r="L37" s="23">
        <f t="shared" si="40"/>
        <v>7</v>
      </c>
      <c r="M37" s="23">
        <f t="shared" si="44"/>
        <v>7</v>
      </c>
      <c r="N37" s="23">
        <f t="shared" si="19"/>
        <v>7</v>
      </c>
      <c r="O37" s="23">
        <f t="shared" si="51"/>
        <v>7</v>
      </c>
      <c r="P37" s="23">
        <f>O37+0</f>
        <v>7</v>
      </c>
      <c r="Q37" s="23">
        <f t="shared" si="25"/>
        <v>7</v>
      </c>
      <c r="R37" s="23">
        <f t="shared" si="34"/>
        <v>7</v>
      </c>
      <c r="S37" s="23">
        <f t="shared" si="45"/>
        <v>7</v>
      </c>
      <c r="T37" s="23">
        <f t="shared" si="52"/>
        <v>7</v>
      </c>
      <c r="U37" s="23">
        <f>T37+0</f>
        <v>7</v>
      </c>
      <c r="V37" s="23">
        <f t="shared" si="42"/>
        <v>7</v>
      </c>
      <c r="W37" s="23">
        <f t="shared" si="53"/>
        <v>7</v>
      </c>
      <c r="X37" s="23">
        <f>W37+0</f>
        <v>7</v>
      </c>
      <c r="Y37" s="23">
        <f t="shared" si="54"/>
        <v>7</v>
      </c>
      <c r="Z37" s="23">
        <f t="shared" si="46"/>
        <v>7</v>
      </c>
      <c r="AA37" s="23">
        <f t="shared" si="46"/>
        <v>7</v>
      </c>
      <c r="AB37" s="23">
        <f t="shared" si="22"/>
        <v>7</v>
      </c>
      <c r="AC37" s="23">
        <f t="shared" si="47"/>
        <v>7</v>
      </c>
      <c r="AD37" s="23">
        <f t="shared" si="55"/>
        <v>7</v>
      </c>
      <c r="AE37" s="23">
        <f t="shared" si="48"/>
        <v>7</v>
      </c>
      <c r="AF37" s="23">
        <f t="shared" si="56"/>
        <v>7</v>
      </c>
      <c r="AG37" s="23">
        <f t="shared" si="56"/>
        <v>7</v>
      </c>
      <c r="AH37" s="23">
        <f t="shared" si="56"/>
        <v>7</v>
      </c>
      <c r="AI37" s="23">
        <f t="shared" si="49"/>
        <v>7</v>
      </c>
      <c r="AJ37" s="23">
        <f t="shared" si="49"/>
        <v>7</v>
      </c>
      <c r="AK37" s="23">
        <f t="shared" si="57"/>
        <v>7</v>
      </c>
      <c r="AL37" s="81">
        <v>1460</v>
      </c>
      <c r="AM37" s="4">
        <v>1</v>
      </c>
      <c r="AN37" s="15" t="s">
        <v>438</v>
      </c>
      <c r="AO37" s="15" t="s">
        <v>411</v>
      </c>
      <c r="AP37" s="15">
        <v>1959.08</v>
      </c>
      <c r="AQ37" s="15" t="s">
        <v>412</v>
      </c>
      <c r="AR37" s="15" t="s">
        <v>436</v>
      </c>
    </row>
    <row r="38" spans="1:44" x14ac:dyDescent="0.3">
      <c r="A38" s="1">
        <v>15</v>
      </c>
      <c r="B38" s="23">
        <v>0</v>
      </c>
      <c r="C38" s="23">
        <f>B38+0</f>
        <v>0</v>
      </c>
      <c r="D38" s="23">
        <f t="shared" si="58"/>
        <v>0</v>
      </c>
      <c r="E38" s="23">
        <f t="shared" si="58"/>
        <v>0</v>
      </c>
      <c r="F38" s="23">
        <f>E38+5</f>
        <v>5</v>
      </c>
      <c r="G38" s="23">
        <f t="shared" si="59"/>
        <v>5</v>
      </c>
      <c r="H38" s="23">
        <f t="shared" si="50"/>
        <v>5</v>
      </c>
      <c r="I38" s="23">
        <f>H38+1</f>
        <v>6</v>
      </c>
      <c r="J38" s="23">
        <f t="shared" si="43"/>
        <v>6</v>
      </c>
      <c r="K38" s="23">
        <f>J38+2</f>
        <v>8</v>
      </c>
      <c r="L38" s="23">
        <f t="shared" si="40"/>
        <v>8</v>
      </c>
      <c r="M38" s="23">
        <f t="shared" si="44"/>
        <v>8</v>
      </c>
      <c r="N38" s="23">
        <f t="shared" si="19"/>
        <v>8</v>
      </c>
      <c r="O38" s="23">
        <f t="shared" si="51"/>
        <v>8</v>
      </c>
      <c r="P38" s="23">
        <f>O38+2</f>
        <v>10</v>
      </c>
      <c r="Q38" s="23">
        <f t="shared" si="25"/>
        <v>10</v>
      </c>
      <c r="R38" s="23">
        <f t="shared" si="34"/>
        <v>10</v>
      </c>
      <c r="S38" s="23">
        <f t="shared" si="45"/>
        <v>10</v>
      </c>
      <c r="T38" s="23">
        <f t="shared" si="52"/>
        <v>10</v>
      </c>
      <c r="U38" s="23">
        <f>T38+3</f>
        <v>13</v>
      </c>
      <c r="V38" s="23">
        <f t="shared" si="42"/>
        <v>13</v>
      </c>
      <c r="W38" s="23">
        <f t="shared" si="53"/>
        <v>13</v>
      </c>
      <c r="X38" s="23">
        <f>W38+2</f>
        <v>15</v>
      </c>
      <c r="Y38" s="23">
        <f t="shared" si="54"/>
        <v>15</v>
      </c>
      <c r="Z38" s="23">
        <f t="shared" si="46"/>
        <v>15</v>
      </c>
      <c r="AA38" s="23">
        <f t="shared" si="46"/>
        <v>15</v>
      </c>
      <c r="AB38" s="23">
        <f t="shared" si="22"/>
        <v>15</v>
      </c>
      <c r="AC38" s="23">
        <f t="shared" si="47"/>
        <v>15</v>
      </c>
      <c r="AD38" s="23">
        <f t="shared" si="55"/>
        <v>15</v>
      </c>
      <c r="AE38" s="23">
        <f t="shared" si="48"/>
        <v>15</v>
      </c>
      <c r="AF38" s="23">
        <f t="shared" si="56"/>
        <v>15</v>
      </c>
      <c r="AG38" s="23">
        <f t="shared" si="56"/>
        <v>15</v>
      </c>
      <c r="AH38" s="23">
        <f t="shared" si="56"/>
        <v>15</v>
      </c>
      <c r="AI38" s="23">
        <f t="shared" si="49"/>
        <v>15</v>
      </c>
      <c r="AJ38" s="23">
        <f t="shared" si="49"/>
        <v>15</v>
      </c>
      <c r="AK38" s="23">
        <f t="shared" si="57"/>
        <v>15</v>
      </c>
      <c r="AL38" s="81">
        <v>1520</v>
      </c>
      <c r="AM38" s="4">
        <v>2</v>
      </c>
      <c r="AN38" s="15" t="s">
        <v>437</v>
      </c>
      <c r="AO38" s="15" t="s">
        <v>411</v>
      </c>
      <c r="AP38" s="15">
        <v>1959.08</v>
      </c>
      <c r="AQ38" s="15" t="s">
        <v>412</v>
      </c>
      <c r="AR38" s="15" t="s">
        <v>436</v>
      </c>
    </row>
    <row r="39" spans="1:44" x14ac:dyDescent="0.3">
      <c r="A39" s="1">
        <v>5</v>
      </c>
      <c r="B39" s="23">
        <v>1</v>
      </c>
      <c r="C39" s="23">
        <f>B39+1</f>
        <v>2</v>
      </c>
      <c r="D39" s="23">
        <f t="shared" si="58"/>
        <v>2</v>
      </c>
      <c r="E39" s="23">
        <f t="shared" si="58"/>
        <v>2</v>
      </c>
      <c r="F39" s="23">
        <f>E39+3</f>
        <v>5</v>
      </c>
      <c r="G39" s="23">
        <f t="shared" si="59"/>
        <v>5</v>
      </c>
      <c r="H39" s="23">
        <f t="shared" si="50"/>
        <v>5</v>
      </c>
      <c r="I39" s="23">
        <f>H39+0</f>
        <v>5</v>
      </c>
      <c r="J39" s="23">
        <f t="shared" si="43"/>
        <v>5</v>
      </c>
      <c r="K39" s="23">
        <f>J39+0</f>
        <v>5</v>
      </c>
      <c r="L39" s="23">
        <f t="shared" si="40"/>
        <v>5</v>
      </c>
      <c r="M39" s="23">
        <f t="shared" si="44"/>
        <v>5</v>
      </c>
      <c r="N39" s="23">
        <f t="shared" si="19"/>
        <v>5</v>
      </c>
      <c r="O39" s="23">
        <f t="shared" si="51"/>
        <v>5</v>
      </c>
      <c r="P39" s="23">
        <f>O39+0</f>
        <v>5</v>
      </c>
      <c r="Q39" s="23">
        <f t="shared" si="25"/>
        <v>5</v>
      </c>
      <c r="R39" s="23">
        <f t="shared" si="34"/>
        <v>5</v>
      </c>
      <c r="S39" s="23">
        <f t="shared" si="45"/>
        <v>5</v>
      </c>
      <c r="T39" s="23">
        <f t="shared" si="52"/>
        <v>5</v>
      </c>
      <c r="U39" s="23">
        <f>T39+0</f>
        <v>5</v>
      </c>
      <c r="V39" s="23">
        <f t="shared" si="42"/>
        <v>5</v>
      </c>
      <c r="W39" s="23">
        <f t="shared" si="53"/>
        <v>5</v>
      </c>
      <c r="X39" s="23">
        <f>W39+0</f>
        <v>5</v>
      </c>
      <c r="Y39" s="23">
        <f t="shared" si="54"/>
        <v>5</v>
      </c>
      <c r="Z39" s="23">
        <f t="shared" si="46"/>
        <v>5</v>
      </c>
      <c r="AA39" s="23">
        <f t="shared" si="46"/>
        <v>5</v>
      </c>
      <c r="AB39" s="23">
        <f t="shared" si="22"/>
        <v>5</v>
      </c>
      <c r="AC39" s="23">
        <f t="shared" si="47"/>
        <v>5</v>
      </c>
      <c r="AD39" s="23">
        <f t="shared" si="55"/>
        <v>5</v>
      </c>
      <c r="AE39" s="23">
        <f t="shared" si="48"/>
        <v>5</v>
      </c>
      <c r="AF39" s="23">
        <f t="shared" si="56"/>
        <v>5</v>
      </c>
      <c r="AG39" s="23">
        <f t="shared" si="56"/>
        <v>5</v>
      </c>
      <c r="AH39" s="23">
        <f t="shared" si="56"/>
        <v>5</v>
      </c>
      <c r="AI39" s="23">
        <f t="shared" si="49"/>
        <v>5</v>
      </c>
      <c r="AJ39" s="23">
        <f t="shared" si="49"/>
        <v>5</v>
      </c>
      <c r="AK39" s="23">
        <f t="shared" si="57"/>
        <v>5</v>
      </c>
      <c r="AL39" s="81">
        <v>1520</v>
      </c>
      <c r="AM39" s="4">
        <v>2</v>
      </c>
      <c r="AN39" s="15" t="s">
        <v>438</v>
      </c>
      <c r="AO39" s="15" t="s">
        <v>411</v>
      </c>
      <c r="AP39" s="15">
        <v>1959.08</v>
      </c>
      <c r="AQ39" s="15" t="s">
        <v>412</v>
      </c>
      <c r="AR39" s="15" t="s">
        <v>436</v>
      </c>
    </row>
    <row r="40" spans="1:44" x14ac:dyDescent="0.3">
      <c r="A40" s="1">
        <v>16</v>
      </c>
      <c r="B40" s="23">
        <v>0</v>
      </c>
      <c r="C40" s="23">
        <f t="shared" ref="C40:C56" si="60">B40+0</f>
        <v>0</v>
      </c>
      <c r="D40" s="23">
        <f>C40+1</f>
        <v>1</v>
      </c>
      <c r="E40" s="23">
        <f>D40+0</f>
        <v>1</v>
      </c>
      <c r="F40" s="23">
        <f>E40+0</f>
        <v>1</v>
      </c>
      <c r="G40" s="23">
        <f t="shared" si="59"/>
        <v>1</v>
      </c>
      <c r="H40" s="23">
        <f t="shared" si="50"/>
        <v>1</v>
      </c>
      <c r="I40" s="23">
        <f>H40+2</f>
        <v>3</v>
      </c>
      <c r="J40" s="23">
        <f t="shared" si="43"/>
        <v>3</v>
      </c>
      <c r="K40" s="23">
        <f>J40+2</f>
        <v>5</v>
      </c>
      <c r="L40" s="23">
        <f t="shared" si="40"/>
        <v>5</v>
      </c>
      <c r="M40" s="23">
        <f t="shared" si="44"/>
        <v>5</v>
      </c>
      <c r="N40" s="23">
        <f t="shared" ref="N40:N71" si="61">M40+0</f>
        <v>5</v>
      </c>
      <c r="O40" s="23">
        <f t="shared" si="51"/>
        <v>5</v>
      </c>
      <c r="P40" s="23">
        <f>O40+3</f>
        <v>8</v>
      </c>
      <c r="Q40" s="23">
        <f t="shared" si="25"/>
        <v>8</v>
      </c>
      <c r="R40" s="23">
        <f t="shared" si="34"/>
        <v>8</v>
      </c>
      <c r="S40" s="23">
        <f t="shared" si="45"/>
        <v>8</v>
      </c>
      <c r="T40" s="23">
        <f t="shared" si="52"/>
        <v>8</v>
      </c>
      <c r="U40" s="23">
        <f>T40+3</f>
        <v>11</v>
      </c>
      <c r="V40" s="23">
        <f t="shared" si="42"/>
        <v>11</v>
      </c>
      <c r="W40" s="23">
        <f t="shared" si="53"/>
        <v>11</v>
      </c>
      <c r="X40" s="23">
        <f>W40+5</f>
        <v>16</v>
      </c>
      <c r="Y40" s="23">
        <f t="shared" si="54"/>
        <v>16</v>
      </c>
      <c r="Z40" s="23">
        <f t="shared" si="46"/>
        <v>16</v>
      </c>
      <c r="AA40" s="23">
        <f t="shared" si="46"/>
        <v>16</v>
      </c>
      <c r="AB40" s="23">
        <f t="shared" ref="AB40:AB71" si="62">AA40+0</f>
        <v>16</v>
      </c>
      <c r="AC40" s="23">
        <f t="shared" si="47"/>
        <v>16</v>
      </c>
      <c r="AD40" s="23">
        <f t="shared" si="55"/>
        <v>16</v>
      </c>
      <c r="AE40" s="23">
        <f t="shared" si="48"/>
        <v>16</v>
      </c>
      <c r="AF40" s="23">
        <f t="shared" si="56"/>
        <v>16</v>
      </c>
      <c r="AG40" s="23">
        <f t="shared" si="56"/>
        <v>16</v>
      </c>
      <c r="AH40" s="23">
        <f t="shared" si="56"/>
        <v>16</v>
      </c>
      <c r="AI40" s="23">
        <f t="shared" si="49"/>
        <v>16</v>
      </c>
      <c r="AJ40" s="23">
        <f t="shared" si="49"/>
        <v>16</v>
      </c>
      <c r="AK40" s="23">
        <f t="shared" si="57"/>
        <v>16</v>
      </c>
      <c r="AL40" s="81">
        <v>1580</v>
      </c>
      <c r="AM40" s="4">
        <v>3</v>
      </c>
      <c r="AN40" s="15" t="s">
        <v>437</v>
      </c>
      <c r="AO40" s="15" t="s">
        <v>411</v>
      </c>
      <c r="AP40" s="15">
        <v>1959.08</v>
      </c>
      <c r="AQ40" s="15" t="s">
        <v>412</v>
      </c>
      <c r="AR40" s="15" t="s">
        <v>436</v>
      </c>
    </row>
    <row r="41" spans="1:44" x14ac:dyDescent="0.3">
      <c r="A41" s="1">
        <v>5</v>
      </c>
      <c r="B41" s="23">
        <v>0</v>
      </c>
      <c r="C41" s="23">
        <f t="shared" si="60"/>
        <v>0</v>
      </c>
      <c r="D41" s="23">
        <f t="shared" ref="D41:E57" si="63">C41+0</f>
        <v>0</v>
      </c>
      <c r="E41" s="23">
        <f t="shared" si="63"/>
        <v>0</v>
      </c>
      <c r="F41" s="23">
        <f>E41+3</f>
        <v>3</v>
      </c>
      <c r="G41" s="23">
        <f t="shared" si="59"/>
        <v>3</v>
      </c>
      <c r="H41" s="23">
        <f t="shared" si="50"/>
        <v>3</v>
      </c>
      <c r="I41" s="23">
        <f>H41+1</f>
        <v>4</v>
      </c>
      <c r="J41" s="23">
        <f t="shared" si="43"/>
        <v>4</v>
      </c>
      <c r="K41" s="23">
        <f>J41+1</f>
        <v>5</v>
      </c>
      <c r="L41" s="23">
        <f t="shared" si="40"/>
        <v>5</v>
      </c>
      <c r="M41" s="23">
        <f t="shared" si="44"/>
        <v>5</v>
      </c>
      <c r="N41" s="23">
        <f t="shared" si="61"/>
        <v>5</v>
      </c>
      <c r="O41" s="23">
        <f t="shared" si="51"/>
        <v>5</v>
      </c>
      <c r="P41" s="23">
        <f t="shared" ref="P41:P72" si="64">O41+0</f>
        <v>5</v>
      </c>
      <c r="Q41" s="23">
        <f t="shared" si="25"/>
        <v>5</v>
      </c>
      <c r="R41" s="23">
        <f t="shared" si="34"/>
        <v>5</v>
      </c>
      <c r="S41" s="23">
        <f t="shared" si="45"/>
        <v>5</v>
      </c>
      <c r="T41" s="23">
        <f t="shared" si="52"/>
        <v>5</v>
      </c>
      <c r="U41" s="23">
        <f t="shared" ref="U41:U72" si="65">T41+0</f>
        <v>5</v>
      </c>
      <c r="V41" s="23">
        <f t="shared" si="42"/>
        <v>5</v>
      </c>
      <c r="W41" s="23">
        <f t="shared" si="53"/>
        <v>5</v>
      </c>
      <c r="X41" s="23">
        <f t="shared" ref="X41:X72" si="66">W41+0</f>
        <v>5</v>
      </c>
      <c r="Y41" s="23">
        <f t="shared" si="54"/>
        <v>5</v>
      </c>
      <c r="Z41" s="23">
        <f t="shared" si="46"/>
        <v>5</v>
      </c>
      <c r="AA41" s="23">
        <f t="shared" si="46"/>
        <v>5</v>
      </c>
      <c r="AB41" s="23">
        <f t="shared" si="62"/>
        <v>5</v>
      </c>
      <c r="AC41" s="23">
        <f t="shared" si="47"/>
        <v>5</v>
      </c>
      <c r="AD41" s="23">
        <f t="shared" si="55"/>
        <v>5</v>
      </c>
      <c r="AE41" s="23">
        <f t="shared" si="48"/>
        <v>5</v>
      </c>
      <c r="AF41" s="23">
        <f t="shared" si="56"/>
        <v>5</v>
      </c>
      <c r="AG41" s="23">
        <f t="shared" si="56"/>
        <v>5</v>
      </c>
      <c r="AH41" s="23">
        <f t="shared" si="56"/>
        <v>5</v>
      </c>
      <c r="AI41" s="23">
        <f t="shared" si="49"/>
        <v>5</v>
      </c>
      <c r="AJ41" s="23">
        <f t="shared" si="49"/>
        <v>5</v>
      </c>
      <c r="AK41" s="23">
        <f t="shared" si="57"/>
        <v>5</v>
      </c>
      <c r="AL41" s="81">
        <v>1580</v>
      </c>
      <c r="AM41" s="4">
        <v>3</v>
      </c>
      <c r="AN41" s="15" t="s">
        <v>438</v>
      </c>
      <c r="AO41" s="15" t="s">
        <v>411</v>
      </c>
      <c r="AP41" s="15">
        <v>1959.08</v>
      </c>
      <c r="AQ41" s="15" t="s">
        <v>412</v>
      </c>
      <c r="AR41" s="15" t="s">
        <v>436</v>
      </c>
    </row>
    <row r="42" spans="1:44" x14ac:dyDescent="0.3">
      <c r="A42" s="1">
        <v>52</v>
      </c>
      <c r="B42" s="23">
        <v>0</v>
      </c>
      <c r="C42" s="23">
        <f t="shared" si="60"/>
        <v>0</v>
      </c>
      <c r="D42" s="23">
        <f t="shared" si="63"/>
        <v>0</v>
      </c>
      <c r="E42" s="23">
        <f t="shared" si="63"/>
        <v>0</v>
      </c>
      <c r="F42" s="23">
        <f>E42+46</f>
        <v>46</v>
      </c>
      <c r="G42" s="23">
        <f t="shared" si="59"/>
        <v>46</v>
      </c>
      <c r="H42" s="23">
        <f t="shared" si="50"/>
        <v>46</v>
      </c>
      <c r="I42" s="23">
        <f t="shared" ref="I42:I57" si="67">H42+0</f>
        <v>46</v>
      </c>
      <c r="J42" s="23">
        <f t="shared" si="43"/>
        <v>46</v>
      </c>
      <c r="K42" s="23">
        <f t="shared" ref="K42:K73" si="68">J42+0</f>
        <v>46</v>
      </c>
      <c r="L42" s="23">
        <f t="shared" si="40"/>
        <v>46</v>
      </c>
      <c r="M42" s="23">
        <f>L42+3</f>
        <v>49</v>
      </c>
      <c r="N42" s="23">
        <f t="shared" si="61"/>
        <v>49</v>
      </c>
      <c r="O42" s="23">
        <f t="shared" si="51"/>
        <v>49</v>
      </c>
      <c r="P42" s="23">
        <f t="shared" si="64"/>
        <v>49</v>
      </c>
      <c r="Q42" s="23">
        <f t="shared" si="25"/>
        <v>49</v>
      </c>
      <c r="R42" s="23">
        <f t="shared" si="34"/>
        <v>49</v>
      </c>
      <c r="S42" s="23">
        <f t="shared" si="45"/>
        <v>49</v>
      </c>
      <c r="T42" s="23">
        <f t="shared" si="52"/>
        <v>49</v>
      </c>
      <c r="U42" s="23">
        <f t="shared" si="65"/>
        <v>49</v>
      </c>
      <c r="V42" s="23">
        <f t="shared" si="42"/>
        <v>49</v>
      </c>
      <c r="W42" s="23">
        <f>V42+3</f>
        <v>52</v>
      </c>
      <c r="X42" s="23">
        <f t="shared" si="66"/>
        <v>52</v>
      </c>
      <c r="Y42" s="23">
        <f t="shared" si="54"/>
        <v>52</v>
      </c>
      <c r="Z42" s="23">
        <f t="shared" si="46"/>
        <v>52</v>
      </c>
      <c r="AA42" s="23">
        <f t="shared" si="46"/>
        <v>52</v>
      </c>
      <c r="AB42" s="23">
        <f t="shared" si="62"/>
        <v>52</v>
      </c>
      <c r="AC42" s="23">
        <f t="shared" si="47"/>
        <v>52</v>
      </c>
      <c r="AD42" s="23">
        <f t="shared" si="55"/>
        <v>52</v>
      </c>
      <c r="AE42" s="23">
        <f t="shared" si="48"/>
        <v>52</v>
      </c>
      <c r="AF42" s="23">
        <f t="shared" si="56"/>
        <v>52</v>
      </c>
      <c r="AG42" s="23">
        <f t="shared" si="56"/>
        <v>52</v>
      </c>
      <c r="AH42" s="23">
        <f t="shared" si="56"/>
        <v>52</v>
      </c>
      <c r="AI42" s="23">
        <f t="shared" si="49"/>
        <v>52</v>
      </c>
      <c r="AJ42" s="23">
        <f t="shared" si="49"/>
        <v>52</v>
      </c>
      <c r="AK42" s="23">
        <f t="shared" si="57"/>
        <v>52</v>
      </c>
      <c r="AL42" s="68">
        <v>2520</v>
      </c>
      <c r="AM42" s="4">
        <v>1</v>
      </c>
      <c r="AN42" s="15" t="s">
        <v>280</v>
      </c>
      <c r="AO42" s="15" t="s">
        <v>63</v>
      </c>
      <c r="AP42" s="15">
        <v>1966</v>
      </c>
      <c r="AQ42" s="15" t="s">
        <v>231</v>
      </c>
    </row>
    <row r="43" spans="1:44" x14ac:dyDescent="0.3">
      <c r="A43" s="1">
        <v>51</v>
      </c>
      <c r="B43" s="23">
        <v>0</v>
      </c>
      <c r="C43" s="23">
        <f t="shared" si="60"/>
        <v>0</v>
      </c>
      <c r="D43" s="23">
        <f t="shared" si="63"/>
        <v>0</v>
      </c>
      <c r="E43" s="23">
        <f t="shared" si="63"/>
        <v>0</v>
      </c>
      <c r="F43" s="23">
        <f>E43+42</f>
        <v>42</v>
      </c>
      <c r="G43" s="23">
        <f t="shared" si="59"/>
        <v>42</v>
      </c>
      <c r="H43" s="23">
        <f t="shared" si="50"/>
        <v>42</v>
      </c>
      <c r="I43" s="23">
        <f t="shared" si="67"/>
        <v>42</v>
      </c>
      <c r="J43" s="23">
        <f t="shared" si="43"/>
        <v>42</v>
      </c>
      <c r="K43" s="23">
        <f t="shared" si="68"/>
        <v>42</v>
      </c>
      <c r="L43" s="23">
        <f t="shared" si="40"/>
        <v>42</v>
      </c>
      <c r="M43" s="23">
        <f>L43+5</f>
        <v>47</v>
      </c>
      <c r="N43" s="23">
        <f t="shared" si="61"/>
        <v>47</v>
      </c>
      <c r="O43" s="23">
        <f t="shared" si="51"/>
        <v>47</v>
      </c>
      <c r="P43" s="23">
        <f t="shared" si="64"/>
        <v>47</v>
      </c>
      <c r="Q43" s="23">
        <f t="shared" si="25"/>
        <v>47</v>
      </c>
      <c r="R43" s="23">
        <f t="shared" si="34"/>
        <v>47</v>
      </c>
      <c r="S43" s="23">
        <f t="shared" si="45"/>
        <v>47</v>
      </c>
      <c r="T43" s="23">
        <f t="shared" si="52"/>
        <v>47</v>
      </c>
      <c r="U43" s="23">
        <f t="shared" si="65"/>
        <v>47</v>
      </c>
      <c r="V43" s="23">
        <f t="shared" si="42"/>
        <v>47</v>
      </c>
      <c r="W43" s="23">
        <f>V43+4</f>
        <v>51</v>
      </c>
      <c r="X43" s="23">
        <f t="shared" si="66"/>
        <v>51</v>
      </c>
      <c r="Y43" s="23">
        <f t="shared" si="54"/>
        <v>51</v>
      </c>
      <c r="Z43" s="23">
        <f t="shared" si="46"/>
        <v>51</v>
      </c>
      <c r="AA43" s="23">
        <f t="shared" si="46"/>
        <v>51</v>
      </c>
      <c r="AB43" s="23">
        <f t="shared" si="62"/>
        <v>51</v>
      </c>
      <c r="AC43" s="23">
        <f t="shared" si="47"/>
        <v>51</v>
      </c>
      <c r="AD43" s="23">
        <f t="shared" si="55"/>
        <v>51</v>
      </c>
      <c r="AE43" s="23">
        <f t="shared" si="48"/>
        <v>51</v>
      </c>
      <c r="AF43" s="23">
        <f t="shared" si="56"/>
        <v>51</v>
      </c>
      <c r="AG43" s="23">
        <f t="shared" si="56"/>
        <v>51</v>
      </c>
      <c r="AH43" s="23">
        <f t="shared" si="56"/>
        <v>51</v>
      </c>
      <c r="AI43" s="23">
        <f t="shared" si="49"/>
        <v>51</v>
      </c>
      <c r="AJ43" s="23">
        <f t="shared" si="49"/>
        <v>51</v>
      </c>
      <c r="AK43" s="23">
        <f t="shared" si="57"/>
        <v>51</v>
      </c>
      <c r="AL43" s="2">
        <v>2520</v>
      </c>
      <c r="AM43" s="4">
        <v>1</v>
      </c>
      <c r="AN43" s="15" t="s">
        <v>281</v>
      </c>
      <c r="AO43" s="15" t="s">
        <v>63</v>
      </c>
      <c r="AP43" s="15">
        <v>1966</v>
      </c>
      <c r="AQ43" s="15" t="s">
        <v>231</v>
      </c>
    </row>
    <row r="44" spans="1:44" x14ac:dyDescent="0.3">
      <c r="A44" s="1">
        <v>30</v>
      </c>
      <c r="B44" s="23">
        <v>0</v>
      </c>
      <c r="C44" s="23">
        <f t="shared" si="60"/>
        <v>0</v>
      </c>
      <c r="D44" s="23">
        <f t="shared" si="63"/>
        <v>0</v>
      </c>
      <c r="E44" s="23">
        <f t="shared" si="63"/>
        <v>0</v>
      </c>
      <c r="F44" s="23">
        <f>E44+28</f>
        <v>28</v>
      </c>
      <c r="G44" s="23">
        <f t="shared" si="59"/>
        <v>28</v>
      </c>
      <c r="H44" s="23">
        <f t="shared" si="50"/>
        <v>28</v>
      </c>
      <c r="I44" s="23">
        <f t="shared" si="67"/>
        <v>28</v>
      </c>
      <c r="J44" s="23">
        <f t="shared" si="43"/>
        <v>28</v>
      </c>
      <c r="K44" s="23">
        <f t="shared" si="68"/>
        <v>28</v>
      </c>
      <c r="L44" s="23">
        <f t="shared" si="40"/>
        <v>28</v>
      </c>
      <c r="M44" s="23">
        <f>L44+0</f>
        <v>28</v>
      </c>
      <c r="N44" s="23">
        <f t="shared" si="61"/>
        <v>28</v>
      </c>
      <c r="O44" s="23">
        <f t="shared" si="51"/>
        <v>28</v>
      </c>
      <c r="P44" s="23">
        <f t="shared" si="64"/>
        <v>28</v>
      </c>
      <c r="Q44" s="23">
        <f t="shared" si="25"/>
        <v>28</v>
      </c>
      <c r="R44" s="23">
        <f t="shared" si="34"/>
        <v>28</v>
      </c>
      <c r="S44" s="23">
        <f t="shared" si="45"/>
        <v>28</v>
      </c>
      <c r="T44" s="23">
        <f t="shared" si="52"/>
        <v>28</v>
      </c>
      <c r="U44" s="23">
        <f t="shared" si="65"/>
        <v>28</v>
      </c>
      <c r="V44" s="23">
        <f t="shared" si="42"/>
        <v>28</v>
      </c>
      <c r="W44" s="23">
        <f>V44+3</f>
        <v>31</v>
      </c>
      <c r="X44" s="23">
        <f t="shared" si="66"/>
        <v>31</v>
      </c>
      <c r="Y44" s="23">
        <f t="shared" si="54"/>
        <v>31</v>
      </c>
      <c r="Z44" s="23">
        <f t="shared" si="46"/>
        <v>31</v>
      </c>
      <c r="AA44" s="23">
        <f t="shared" si="46"/>
        <v>31</v>
      </c>
      <c r="AB44" s="23">
        <f t="shared" si="62"/>
        <v>31</v>
      </c>
      <c r="AC44" s="23">
        <f t="shared" si="47"/>
        <v>31</v>
      </c>
      <c r="AD44" s="23">
        <f t="shared" si="55"/>
        <v>31</v>
      </c>
      <c r="AE44" s="23">
        <f t="shared" si="48"/>
        <v>31</v>
      </c>
      <c r="AF44" s="23">
        <f t="shared" si="56"/>
        <v>31</v>
      </c>
      <c r="AG44" s="23">
        <f t="shared" si="56"/>
        <v>31</v>
      </c>
      <c r="AH44" s="23">
        <f t="shared" si="56"/>
        <v>31</v>
      </c>
      <c r="AI44" s="23">
        <f t="shared" si="49"/>
        <v>31</v>
      </c>
      <c r="AJ44" s="23">
        <f t="shared" si="49"/>
        <v>31</v>
      </c>
      <c r="AK44" s="23">
        <f t="shared" si="57"/>
        <v>31</v>
      </c>
      <c r="AL44" s="68">
        <v>2520</v>
      </c>
      <c r="AM44" s="4">
        <v>1</v>
      </c>
      <c r="AN44" s="15" t="s">
        <v>282</v>
      </c>
      <c r="AO44" s="15" t="s">
        <v>63</v>
      </c>
      <c r="AP44" s="15">
        <v>1966</v>
      </c>
      <c r="AQ44" s="15" t="s">
        <v>231</v>
      </c>
    </row>
    <row r="45" spans="1:44" x14ac:dyDescent="0.3">
      <c r="A45" s="1">
        <v>41</v>
      </c>
      <c r="B45" s="23">
        <v>0</v>
      </c>
      <c r="C45" s="23">
        <f t="shared" si="60"/>
        <v>0</v>
      </c>
      <c r="D45" s="23">
        <f t="shared" si="63"/>
        <v>0</v>
      </c>
      <c r="E45" s="23">
        <f t="shared" si="63"/>
        <v>0</v>
      </c>
      <c r="F45" s="23">
        <f>E45+13</f>
        <v>13</v>
      </c>
      <c r="G45" s="23">
        <f t="shared" si="59"/>
        <v>13</v>
      </c>
      <c r="H45" s="23">
        <f t="shared" si="50"/>
        <v>13</v>
      </c>
      <c r="I45" s="23">
        <f t="shared" si="67"/>
        <v>13</v>
      </c>
      <c r="J45" s="23">
        <f>I45+13</f>
        <v>26</v>
      </c>
      <c r="K45" s="23">
        <f t="shared" si="68"/>
        <v>26</v>
      </c>
      <c r="L45" s="23">
        <f t="shared" si="40"/>
        <v>26</v>
      </c>
      <c r="M45" s="23">
        <f>L45+9</f>
        <v>35</v>
      </c>
      <c r="N45" s="23">
        <f t="shared" si="61"/>
        <v>35</v>
      </c>
      <c r="O45" s="23">
        <f t="shared" si="51"/>
        <v>35</v>
      </c>
      <c r="P45" s="23">
        <f t="shared" si="64"/>
        <v>35</v>
      </c>
      <c r="Q45" s="23">
        <f t="shared" ref="Q45:Q76" si="69">P45+0</f>
        <v>35</v>
      </c>
      <c r="R45" s="23">
        <f>Q45+2</f>
        <v>37</v>
      </c>
      <c r="S45" s="23">
        <f t="shared" si="45"/>
        <v>37</v>
      </c>
      <c r="T45" s="23">
        <f t="shared" si="52"/>
        <v>37</v>
      </c>
      <c r="U45" s="23">
        <f t="shared" si="65"/>
        <v>37</v>
      </c>
      <c r="V45" s="23">
        <f>U45+4</f>
        <v>41</v>
      </c>
      <c r="W45" s="23">
        <f t="shared" ref="W45:W58" si="70">V45+0</f>
        <v>41</v>
      </c>
      <c r="X45" s="23">
        <f t="shared" si="66"/>
        <v>41</v>
      </c>
      <c r="Y45" s="23">
        <f t="shared" si="54"/>
        <v>41</v>
      </c>
      <c r="Z45" s="23">
        <f t="shared" si="46"/>
        <v>41</v>
      </c>
      <c r="AA45" s="23">
        <f t="shared" si="46"/>
        <v>41</v>
      </c>
      <c r="AB45" s="23">
        <f t="shared" si="62"/>
        <v>41</v>
      </c>
      <c r="AC45" s="23">
        <f t="shared" si="47"/>
        <v>41</v>
      </c>
      <c r="AD45" s="23">
        <f t="shared" si="55"/>
        <v>41</v>
      </c>
      <c r="AE45" s="23">
        <f t="shared" si="48"/>
        <v>41</v>
      </c>
      <c r="AF45" s="23">
        <f t="shared" si="56"/>
        <v>41</v>
      </c>
      <c r="AG45" s="23">
        <f t="shared" si="56"/>
        <v>41</v>
      </c>
      <c r="AH45" s="23">
        <f t="shared" si="56"/>
        <v>41</v>
      </c>
      <c r="AI45" s="23">
        <f t="shared" si="49"/>
        <v>41</v>
      </c>
      <c r="AJ45" s="23">
        <f t="shared" si="49"/>
        <v>41</v>
      </c>
      <c r="AK45" s="23">
        <f t="shared" si="57"/>
        <v>41</v>
      </c>
      <c r="AL45" s="68">
        <v>2520</v>
      </c>
      <c r="AM45" s="4">
        <v>1</v>
      </c>
      <c r="AN45" s="15" t="s">
        <v>206</v>
      </c>
      <c r="AO45" s="15" t="s">
        <v>63</v>
      </c>
      <c r="AP45" s="15">
        <v>1969</v>
      </c>
      <c r="AQ45" s="15" t="s">
        <v>64</v>
      </c>
    </row>
    <row r="46" spans="1:44" x14ac:dyDescent="0.3">
      <c r="A46" s="1">
        <v>10</v>
      </c>
      <c r="B46" s="23">
        <v>0</v>
      </c>
      <c r="C46" s="23">
        <f t="shared" si="60"/>
        <v>0</v>
      </c>
      <c r="D46" s="23">
        <f t="shared" si="63"/>
        <v>0</v>
      </c>
      <c r="E46" s="23">
        <f t="shared" si="63"/>
        <v>0</v>
      </c>
      <c r="F46" s="23">
        <f>E46+7</f>
        <v>7</v>
      </c>
      <c r="G46" s="23">
        <f t="shared" si="59"/>
        <v>7</v>
      </c>
      <c r="H46" s="23">
        <f t="shared" si="50"/>
        <v>7</v>
      </c>
      <c r="I46" s="23">
        <f t="shared" si="67"/>
        <v>7</v>
      </c>
      <c r="J46" s="23">
        <f>I46+2</f>
        <v>9</v>
      </c>
      <c r="K46" s="23">
        <f t="shared" si="68"/>
        <v>9</v>
      </c>
      <c r="L46" s="23">
        <f t="shared" si="40"/>
        <v>9</v>
      </c>
      <c r="M46" s="23">
        <f>L46+0</f>
        <v>9</v>
      </c>
      <c r="N46" s="23">
        <f t="shared" si="61"/>
        <v>9</v>
      </c>
      <c r="O46" s="23">
        <f t="shared" si="51"/>
        <v>9</v>
      </c>
      <c r="P46" s="23">
        <f t="shared" si="64"/>
        <v>9</v>
      </c>
      <c r="Q46" s="23">
        <f t="shared" si="69"/>
        <v>9</v>
      </c>
      <c r="R46" s="23">
        <f>Q46+1</f>
        <v>10</v>
      </c>
      <c r="S46" s="23">
        <f t="shared" si="45"/>
        <v>10</v>
      </c>
      <c r="T46" s="23">
        <f t="shared" si="52"/>
        <v>10</v>
      </c>
      <c r="U46" s="23">
        <f t="shared" si="65"/>
        <v>10</v>
      </c>
      <c r="V46" s="23">
        <f>U46+0</f>
        <v>10</v>
      </c>
      <c r="W46" s="23">
        <f t="shared" si="70"/>
        <v>10</v>
      </c>
      <c r="X46" s="23">
        <f t="shared" si="66"/>
        <v>10</v>
      </c>
      <c r="Y46" s="23">
        <f t="shared" si="54"/>
        <v>10</v>
      </c>
      <c r="Z46" s="23">
        <f t="shared" si="46"/>
        <v>10</v>
      </c>
      <c r="AA46" s="23">
        <f t="shared" si="46"/>
        <v>10</v>
      </c>
      <c r="AB46" s="23">
        <f t="shared" si="62"/>
        <v>10</v>
      </c>
      <c r="AC46" s="23">
        <f t="shared" si="47"/>
        <v>10</v>
      </c>
      <c r="AD46" s="23">
        <f t="shared" si="55"/>
        <v>10</v>
      </c>
      <c r="AE46" s="23">
        <f t="shared" si="48"/>
        <v>10</v>
      </c>
      <c r="AF46" s="23">
        <f t="shared" si="56"/>
        <v>10</v>
      </c>
      <c r="AG46" s="23">
        <f t="shared" si="56"/>
        <v>10</v>
      </c>
      <c r="AH46" s="23">
        <f t="shared" si="56"/>
        <v>10</v>
      </c>
      <c r="AI46" s="23">
        <f t="shared" si="49"/>
        <v>10</v>
      </c>
      <c r="AJ46" s="23">
        <f t="shared" si="49"/>
        <v>10</v>
      </c>
      <c r="AK46" s="23">
        <f t="shared" si="57"/>
        <v>10</v>
      </c>
      <c r="AL46" s="68">
        <v>2520</v>
      </c>
      <c r="AM46" s="4">
        <v>1</v>
      </c>
      <c r="AN46" s="15" t="s">
        <v>67</v>
      </c>
      <c r="AO46" s="15" t="s">
        <v>63</v>
      </c>
      <c r="AP46" s="15">
        <v>1969</v>
      </c>
      <c r="AQ46" s="15" t="s">
        <v>64</v>
      </c>
    </row>
    <row r="47" spans="1:44" x14ac:dyDescent="0.3">
      <c r="A47" s="1">
        <v>17</v>
      </c>
      <c r="B47" s="23">
        <v>0</v>
      </c>
      <c r="C47" s="23">
        <f t="shared" si="60"/>
        <v>0</v>
      </c>
      <c r="D47" s="23">
        <f t="shared" si="63"/>
        <v>0</v>
      </c>
      <c r="E47" s="23">
        <f t="shared" si="63"/>
        <v>0</v>
      </c>
      <c r="F47" s="23">
        <f>E47+9</f>
        <v>9</v>
      </c>
      <c r="G47" s="23">
        <f t="shared" si="59"/>
        <v>9</v>
      </c>
      <c r="H47" s="23">
        <f t="shared" si="50"/>
        <v>9</v>
      </c>
      <c r="I47" s="23">
        <f t="shared" si="67"/>
        <v>9</v>
      </c>
      <c r="J47" s="23">
        <f>I47+4</f>
        <v>13</v>
      </c>
      <c r="K47" s="23">
        <f t="shared" si="68"/>
        <v>13</v>
      </c>
      <c r="L47" s="23">
        <f t="shared" si="40"/>
        <v>13</v>
      </c>
      <c r="M47" s="23">
        <f>L47+0</f>
        <v>13</v>
      </c>
      <c r="N47" s="23">
        <f t="shared" si="61"/>
        <v>13</v>
      </c>
      <c r="O47" s="23">
        <f t="shared" si="51"/>
        <v>13</v>
      </c>
      <c r="P47" s="23">
        <f t="shared" si="64"/>
        <v>13</v>
      </c>
      <c r="Q47" s="23">
        <f t="shared" si="69"/>
        <v>13</v>
      </c>
      <c r="R47" s="23">
        <f>Q47+4</f>
        <v>17</v>
      </c>
      <c r="S47" s="23">
        <f t="shared" si="45"/>
        <v>17</v>
      </c>
      <c r="T47" s="23">
        <f t="shared" si="52"/>
        <v>17</v>
      </c>
      <c r="U47" s="23">
        <f t="shared" si="65"/>
        <v>17</v>
      </c>
      <c r="V47" s="23">
        <f>U47+0</f>
        <v>17</v>
      </c>
      <c r="W47" s="23">
        <f t="shared" si="70"/>
        <v>17</v>
      </c>
      <c r="X47" s="23">
        <f t="shared" si="66"/>
        <v>17</v>
      </c>
      <c r="Y47" s="23">
        <f t="shared" si="54"/>
        <v>17</v>
      </c>
      <c r="Z47" s="23">
        <f t="shared" si="46"/>
        <v>17</v>
      </c>
      <c r="AA47" s="23">
        <f t="shared" si="46"/>
        <v>17</v>
      </c>
      <c r="AB47" s="23">
        <f t="shared" si="62"/>
        <v>17</v>
      </c>
      <c r="AC47" s="23">
        <f t="shared" si="47"/>
        <v>17</v>
      </c>
      <c r="AD47" s="23">
        <f t="shared" si="55"/>
        <v>17</v>
      </c>
      <c r="AE47" s="23">
        <f t="shared" si="48"/>
        <v>17</v>
      </c>
      <c r="AF47" s="23">
        <f t="shared" si="56"/>
        <v>17</v>
      </c>
      <c r="AG47" s="23">
        <f t="shared" si="56"/>
        <v>17</v>
      </c>
      <c r="AH47" s="23">
        <f t="shared" si="56"/>
        <v>17</v>
      </c>
      <c r="AI47" s="23">
        <f t="shared" si="49"/>
        <v>17</v>
      </c>
      <c r="AJ47" s="23">
        <f t="shared" si="49"/>
        <v>17</v>
      </c>
      <c r="AK47" s="23">
        <f t="shared" si="57"/>
        <v>17</v>
      </c>
      <c r="AL47" s="68">
        <v>2520</v>
      </c>
      <c r="AM47" s="4">
        <v>1</v>
      </c>
      <c r="AN47" s="15" t="s">
        <v>66</v>
      </c>
      <c r="AO47" s="15" t="s">
        <v>63</v>
      </c>
      <c r="AP47" s="15">
        <v>1969</v>
      </c>
      <c r="AQ47" s="15" t="s">
        <v>64</v>
      </c>
    </row>
    <row r="48" spans="1:44" x14ac:dyDescent="0.3">
      <c r="A48" s="1">
        <v>29</v>
      </c>
      <c r="B48" s="23">
        <v>0</v>
      </c>
      <c r="C48" s="23">
        <f t="shared" si="60"/>
        <v>0</v>
      </c>
      <c r="D48" s="23">
        <f t="shared" si="63"/>
        <v>0</v>
      </c>
      <c r="E48" s="23">
        <f t="shared" si="63"/>
        <v>0</v>
      </c>
      <c r="F48" s="23">
        <f>E48+15</f>
        <v>15</v>
      </c>
      <c r="G48" s="23">
        <f t="shared" si="59"/>
        <v>15</v>
      </c>
      <c r="H48" s="23">
        <f t="shared" si="50"/>
        <v>15</v>
      </c>
      <c r="I48" s="23">
        <f t="shared" si="67"/>
        <v>15</v>
      </c>
      <c r="J48" s="23">
        <f>I48+10</f>
        <v>25</v>
      </c>
      <c r="K48" s="23">
        <f t="shared" si="68"/>
        <v>25</v>
      </c>
      <c r="L48" s="23">
        <f t="shared" si="40"/>
        <v>25</v>
      </c>
      <c r="M48" s="23">
        <f>L48+4</f>
        <v>29</v>
      </c>
      <c r="N48" s="23">
        <f t="shared" si="61"/>
        <v>29</v>
      </c>
      <c r="O48" s="23">
        <f t="shared" si="51"/>
        <v>29</v>
      </c>
      <c r="P48" s="23">
        <f t="shared" si="64"/>
        <v>29</v>
      </c>
      <c r="Q48" s="23">
        <f t="shared" si="69"/>
        <v>29</v>
      </c>
      <c r="R48" s="23">
        <f>Q48+0</f>
        <v>29</v>
      </c>
      <c r="S48" s="23">
        <f t="shared" si="45"/>
        <v>29</v>
      </c>
      <c r="T48" s="23">
        <f t="shared" si="52"/>
        <v>29</v>
      </c>
      <c r="U48" s="23">
        <f t="shared" si="65"/>
        <v>29</v>
      </c>
      <c r="V48" s="23">
        <f>U48+0</f>
        <v>29</v>
      </c>
      <c r="W48" s="23">
        <f t="shared" si="70"/>
        <v>29</v>
      </c>
      <c r="X48" s="23">
        <f t="shared" si="66"/>
        <v>29</v>
      </c>
      <c r="Y48" s="23">
        <f t="shared" si="54"/>
        <v>29</v>
      </c>
      <c r="Z48" s="23">
        <f t="shared" si="46"/>
        <v>29</v>
      </c>
      <c r="AA48" s="23">
        <f t="shared" si="46"/>
        <v>29</v>
      </c>
      <c r="AB48" s="23">
        <f t="shared" si="62"/>
        <v>29</v>
      </c>
      <c r="AC48" s="23">
        <f t="shared" si="47"/>
        <v>29</v>
      </c>
      <c r="AD48" s="23">
        <f t="shared" si="55"/>
        <v>29</v>
      </c>
      <c r="AE48" s="23">
        <f t="shared" si="48"/>
        <v>29</v>
      </c>
      <c r="AF48" s="23">
        <f t="shared" si="56"/>
        <v>29</v>
      </c>
      <c r="AG48" s="23">
        <f t="shared" si="56"/>
        <v>29</v>
      </c>
      <c r="AH48" s="23">
        <f t="shared" si="56"/>
        <v>29</v>
      </c>
      <c r="AI48" s="23">
        <f t="shared" si="49"/>
        <v>29</v>
      </c>
      <c r="AJ48" s="23">
        <f t="shared" si="49"/>
        <v>29</v>
      </c>
      <c r="AK48" s="23">
        <f t="shared" si="57"/>
        <v>29</v>
      </c>
      <c r="AL48" s="68">
        <v>2520</v>
      </c>
      <c r="AM48" s="4">
        <v>1</v>
      </c>
      <c r="AN48" s="15" t="s">
        <v>65</v>
      </c>
      <c r="AO48" s="15" t="s">
        <v>63</v>
      </c>
      <c r="AP48" s="15">
        <v>1969</v>
      </c>
      <c r="AQ48" s="15" t="s">
        <v>64</v>
      </c>
    </row>
    <row r="49" spans="1:44" x14ac:dyDescent="0.3">
      <c r="A49" s="1">
        <v>17</v>
      </c>
      <c r="B49" s="23">
        <v>0</v>
      </c>
      <c r="C49" s="23">
        <f t="shared" si="60"/>
        <v>0</v>
      </c>
      <c r="D49" s="23">
        <f t="shared" si="63"/>
        <v>0</v>
      </c>
      <c r="E49" s="23">
        <f t="shared" si="63"/>
        <v>0</v>
      </c>
      <c r="F49" s="23">
        <f>E49+4</f>
        <v>4</v>
      </c>
      <c r="G49" s="23">
        <f t="shared" si="59"/>
        <v>4</v>
      </c>
      <c r="H49" s="23">
        <f t="shared" si="50"/>
        <v>4</v>
      </c>
      <c r="I49" s="23">
        <f t="shared" si="67"/>
        <v>4</v>
      </c>
      <c r="J49" s="23">
        <f>I49+10</f>
        <v>14</v>
      </c>
      <c r="K49" s="23">
        <f t="shared" si="68"/>
        <v>14</v>
      </c>
      <c r="L49" s="23">
        <f t="shared" si="40"/>
        <v>14</v>
      </c>
      <c r="M49" s="23">
        <f>L49+0</f>
        <v>14</v>
      </c>
      <c r="N49" s="23">
        <f t="shared" si="61"/>
        <v>14</v>
      </c>
      <c r="O49" s="23">
        <f t="shared" si="51"/>
        <v>14</v>
      </c>
      <c r="P49" s="23">
        <f t="shared" si="64"/>
        <v>14</v>
      </c>
      <c r="Q49" s="23">
        <f t="shared" si="69"/>
        <v>14</v>
      </c>
      <c r="R49" s="23">
        <f>Q49+1</f>
        <v>15</v>
      </c>
      <c r="S49" s="23">
        <f t="shared" si="45"/>
        <v>15</v>
      </c>
      <c r="T49" s="23">
        <f t="shared" si="52"/>
        <v>15</v>
      </c>
      <c r="U49" s="23">
        <f t="shared" si="65"/>
        <v>15</v>
      </c>
      <c r="V49" s="23">
        <f>U49+2</f>
        <v>17</v>
      </c>
      <c r="W49" s="23">
        <f t="shared" si="70"/>
        <v>17</v>
      </c>
      <c r="X49" s="23">
        <f t="shared" si="66"/>
        <v>17</v>
      </c>
      <c r="Y49" s="23">
        <f t="shared" si="54"/>
        <v>17</v>
      </c>
      <c r="Z49" s="23">
        <f t="shared" si="46"/>
        <v>17</v>
      </c>
      <c r="AA49" s="23">
        <f t="shared" si="46"/>
        <v>17</v>
      </c>
      <c r="AB49" s="23">
        <f t="shared" si="62"/>
        <v>17</v>
      </c>
      <c r="AC49" s="23">
        <f t="shared" si="47"/>
        <v>17</v>
      </c>
      <c r="AD49" s="23">
        <f t="shared" si="55"/>
        <v>17</v>
      </c>
      <c r="AE49" s="23">
        <f t="shared" si="48"/>
        <v>17</v>
      </c>
      <c r="AF49" s="23">
        <f t="shared" si="56"/>
        <v>17</v>
      </c>
      <c r="AG49" s="23">
        <f t="shared" si="56"/>
        <v>17</v>
      </c>
      <c r="AH49" s="23">
        <f t="shared" si="56"/>
        <v>17</v>
      </c>
      <c r="AI49" s="23">
        <f t="shared" si="49"/>
        <v>17</v>
      </c>
      <c r="AJ49" s="23">
        <f t="shared" si="49"/>
        <v>17</v>
      </c>
      <c r="AK49" s="23">
        <f t="shared" si="57"/>
        <v>17</v>
      </c>
      <c r="AL49" s="68">
        <v>2520</v>
      </c>
      <c r="AM49" s="4">
        <v>2</v>
      </c>
      <c r="AN49" s="15" t="s">
        <v>206</v>
      </c>
      <c r="AO49" s="15" t="s">
        <v>63</v>
      </c>
      <c r="AP49" s="15">
        <v>1969</v>
      </c>
      <c r="AQ49" s="15" t="s">
        <v>64</v>
      </c>
      <c r="AR49" s="15" t="s">
        <v>68</v>
      </c>
    </row>
    <row r="50" spans="1:44" x14ac:dyDescent="0.3">
      <c r="A50" s="1">
        <v>17</v>
      </c>
      <c r="B50" s="23">
        <v>0</v>
      </c>
      <c r="C50" s="23">
        <f t="shared" si="60"/>
        <v>0</v>
      </c>
      <c r="D50" s="23">
        <f t="shared" si="63"/>
        <v>0</v>
      </c>
      <c r="E50" s="23">
        <f t="shared" si="63"/>
        <v>0</v>
      </c>
      <c r="F50" s="23">
        <f>E50+4</f>
        <v>4</v>
      </c>
      <c r="G50" s="23">
        <f t="shared" si="59"/>
        <v>4</v>
      </c>
      <c r="H50" s="23">
        <f t="shared" si="50"/>
        <v>4</v>
      </c>
      <c r="I50" s="23">
        <f t="shared" si="67"/>
        <v>4</v>
      </c>
      <c r="J50" s="23">
        <f>I50+11</f>
        <v>15</v>
      </c>
      <c r="K50" s="23">
        <f t="shared" si="68"/>
        <v>15</v>
      </c>
      <c r="L50" s="23">
        <f t="shared" si="40"/>
        <v>15</v>
      </c>
      <c r="M50" s="23">
        <f>L50+2</f>
        <v>17</v>
      </c>
      <c r="N50" s="23">
        <f t="shared" si="61"/>
        <v>17</v>
      </c>
      <c r="O50" s="23">
        <f t="shared" si="51"/>
        <v>17</v>
      </c>
      <c r="P50" s="23">
        <f t="shared" si="64"/>
        <v>17</v>
      </c>
      <c r="Q50" s="23">
        <f t="shared" si="69"/>
        <v>17</v>
      </c>
      <c r="R50" s="23">
        <f>Q50+0</f>
        <v>17</v>
      </c>
      <c r="S50" s="23">
        <f t="shared" si="45"/>
        <v>17</v>
      </c>
      <c r="T50" s="23">
        <f t="shared" si="52"/>
        <v>17</v>
      </c>
      <c r="U50" s="23">
        <f t="shared" si="65"/>
        <v>17</v>
      </c>
      <c r="V50" s="23">
        <f>U50+0</f>
        <v>17</v>
      </c>
      <c r="W50" s="23">
        <f t="shared" si="70"/>
        <v>17</v>
      </c>
      <c r="X50" s="23">
        <f t="shared" si="66"/>
        <v>17</v>
      </c>
      <c r="Y50" s="23">
        <f t="shared" si="54"/>
        <v>17</v>
      </c>
      <c r="Z50" s="23">
        <f t="shared" si="46"/>
        <v>17</v>
      </c>
      <c r="AA50" s="23">
        <f t="shared" si="46"/>
        <v>17</v>
      </c>
      <c r="AB50" s="23">
        <f t="shared" si="62"/>
        <v>17</v>
      </c>
      <c r="AC50" s="23">
        <f t="shared" si="47"/>
        <v>17</v>
      </c>
      <c r="AD50" s="23">
        <f t="shared" si="55"/>
        <v>17</v>
      </c>
      <c r="AE50" s="23">
        <f t="shared" si="48"/>
        <v>17</v>
      </c>
      <c r="AF50" s="23">
        <f t="shared" si="56"/>
        <v>17</v>
      </c>
      <c r="AG50" s="23">
        <f t="shared" si="56"/>
        <v>17</v>
      </c>
      <c r="AH50" s="23">
        <f t="shared" si="56"/>
        <v>17</v>
      </c>
      <c r="AI50" s="23">
        <f t="shared" si="49"/>
        <v>17</v>
      </c>
      <c r="AJ50" s="23">
        <f t="shared" si="49"/>
        <v>17</v>
      </c>
      <c r="AK50" s="23">
        <f t="shared" si="57"/>
        <v>17</v>
      </c>
      <c r="AL50" s="68">
        <v>2520</v>
      </c>
      <c r="AM50" s="4">
        <v>2</v>
      </c>
      <c r="AN50" s="15" t="s">
        <v>67</v>
      </c>
      <c r="AO50" s="15" t="s">
        <v>63</v>
      </c>
      <c r="AP50" s="15">
        <v>1969</v>
      </c>
      <c r="AQ50" s="15" t="s">
        <v>64</v>
      </c>
      <c r="AR50" s="15" t="s">
        <v>68</v>
      </c>
    </row>
    <row r="51" spans="1:44" x14ac:dyDescent="0.3">
      <c r="A51" s="1">
        <v>53</v>
      </c>
      <c r="B51" s="23">
        <v>0</v>
      </c>
      <c r="C51" s="23">
        <f t="shared" si="60"/>
        <v>0</v>
      </c>
      <c r="D51" s="23">
        <f t="shared" si="63"/>
        <v>0</v>
      </c>
      <c r="E51" s="23">
        <f t="shared" si="63"/>
        <v>0</v>
      </c>
      <c r="F51" s="23">
        <f>E51+0</f>
        <v>0</v>
      </c>
      <c r="G51" s="23">
        <f t="shared" si="59"/>
        <v>0</v>
      </c>
      <c r="H51" s="23">
        <f t="shared" si="50"/>
        <v>0</v>
      </c>
      <c r="I51" s="23">
        <f t="shared" si="67"/>
        <v>0</v>
      </c>
      <c r="J51" s="23">
        <f>I51+44</f>
        <v>44</v>
      </c>
      <c r="K51" s="23">
        <f t="shared" si="68"/>
        <v>44</v>
      </c>
      <c r="L51" s="23">
        <f t="shared" si="40"/>
        <v>44</v>
      </c>
      <c r="M51" s="23">
        <f>L51+2</f>
        <v>46</v>
      </c>
      <c r="N51" s="23">
        <f t="shared" si="61"/>
        <v>46</v>
      </c>
      <c r="O51" s="23">
        <f t="shared" si="51"/>
        <v>46</v>
      </c>
      <c r="P51" s="23">
        <f t="shared" si="64"/>
        <v>46</v>
      </c>
      <c r="Q51" s="23">
        <f t="shared" si="69"/>
        <v>46</v>
      </c>
      <c r="R51" s="23">
        <f>Q51+6</f>
        <v>52</v>
      </c>
      <c r="S51" s="23">
        <f t="shared" si="45"/>
        <v>52</v>
      </c>
      <c r="T51" s="23">
        <f t="shared" si="52"/>
        <v>52</v>
      </c>
      <c r="U51" s="23">
        <f t="shared" si="65"/>
        <v>52</v>
      </c>
      <c r="V51" s="23">
        <f>U51+1</f>
        <v>53</v>
      </c>
      <c r="W51" s="23">
        <f t="shared" si="70"/>
        <v>53</v>
      </c>
      <c r="X51" s="23">
        <f t="shared" si="66"/>
        <v>53</v>
      </c>
      <c r="Y51" s="23">
        <f t="shared" si="54"/>
        <v>53</v>
      </c>
      <c r="Z51" s="23">
        <f t="shared" si="46"/>
        <v>53</v>
      </c>
      <c r="AA51" s="23">
        <f t="shared" si="46"/>
        <v>53</v>
      </c>
      <c r="AB51" s="23">
        <f t="shared" si="62"/>
        <v>53</v>
      </c>
      <c r="AC51" s="23">
        <f t="shared" si="47"/>
        <v>53</v>
      </c>
      <c r="AD51" s="23">
        <f t="shared" si="55"/>
        <v>53</v>
      </c>
      <c r="AE51" s="23">
        <f t="shared" si="48"/>
        <v>53</v>
      </c>
      <c r="AF51" s="23">
        <f t="shared" si="56"/>
        <v>53</v>
      </c>
      <c r="AG51" s="23">
        <f t="shared" si="56"/>
        <v>53</v>
      </c>
      <c r="AH51" s="23">
        <f t="shared" si="56"/>
        <v>53</v>
      </c>
      <c r="AI51" s="23">
        <f t="shared" si="49"/>
        <v>53</v>
      </c>
      <c r="AJ51" s="23">
        <f t="shared" si="49"/>
        <v>53</v>
      </c>
      <c r="AK51" s="23">
        <f t="shared" si="57"/>
        <v>53</v>
      </c>
      <c r="AL51" s="68">
        <v>2520</v>
      </c>
      <c r="AM51" s="4">
        <v>2</v>
      </c>
      <c r="AN51" s="15" t="s">
        <v>66</v>
      </c>
      <c r="AO51" s="15" t="s">
        <v>63</v>
      </c>
      <c r="AP51" s="15">
        <v>1969</v>
      </c>
      <c r="AQ51" s="15" t="s">
        <v>64</v>
      </c>
      <c r="AR51" s="15" t="s">
        <v>68</v>
      </c>
    </row>
    <row r="52" spans="1:44" x14ac:dyDescent="0.3">
      <c r="A52" s="1">
        <v>45</v>
      </c>
      <c r="B52" s="23">
        <v>0</v>
      </c>
      <c r="C52" s="23">
        <f t="shared" si="60"/>
        <v>0</v>
      </c>
      <c r="D52" s="23">
        <f t="shared" si="63"/>
        <v>0</v>
      </c>
      <c r="E52" s="23">
        <f t="shared" si="63"/>
        <v>0</v>
      </c>
      <c r="F52" s="23">
        <f>E52+15</f>
        <v>15</v>
      </c>
      <c r="G52" s="23">
        <f t="shared" si="59"/>
        <v>15</v>
      </c>
      <c r="H52" s="23">
        <f t="shared" si="50"/>
        <v>15</v>
      </c>
      <c r="I52" s="23">
        <f t="shared" si="67"/>
        <v>15</v>
      </c>
      <c r="J52" s="23">
        <f>I52+25</f>
        <v>40</v>
      </c>
      <c r="K52" s="23">
        <f t="shared" si="68"/>
        <v>40</v>
      </c>
      <c r="L52" s="23">
        <f t="shared" si="40"/>
        <v>40</v>
      </c>
      <c r="M52" s="23">
        <f>L52+2</f>
        <v>42</v>
      </c>
      <c r="N52" s="23">
        <f t="shared" si="61"/>
        <v>42</v>
      </c>
      <c r="O52" s="23">
        <f t="shared" si="51"/>
        <v>42</v>
      </c>
      <c r="P52" s="23">
        <f t="shared" si="64"/>
        <v>42</v>
      </c>
      <c r="Q52" s="23">
        <f t="shared" si="69"/>
        <v>42</v>
      </c>
      <c r="R52" s="23">
        <f>Q52+1</f>
        <v>43</v>
      </c>
      <c r="S52" s="23">
        <f t="shared" si="45"/>
        <v>43</v>
      </c>
      <c r="T52" s="23">
        <f t="shared" si="52"/>
        <v>43</v>
      </c>
      <c r="U52" s="23">
        <f t="shared" si="65"/>
        <v>43</v>
      </c>
      <c r="V52" s="23">
        <f>U52+2</f>
        <v>45</v>
      </c>
      <c r="W52" s="23">
        <f t="shared" si="70"/>
        <v>45</v>
      </c>
      <c r="X52" s="23">
        <f t="shared" si="66"/>
        <v>45</v>
      </c>
      <c r="Y52" s="23">
        <f t="shared" si="54"/>
        <v>45</v>
      </c>
      <c r="Z52" s="23">
        <f t="shared" si="46"/>
        <v>45</v>
      </c>
      <c r="AA52" s="23">
        <f t="shared" si="46"/>
        <v>45</v>
      </c>
      <c r="AB52" s="23">
        <f t="shared" si="62"/>
        <v>45</v>
      </c>
      <c r="AC52" s="23">
        <f t="shared" si="47"/>
        <v>45</v>
      </c>
      <c r="AD52" s="23">
        <f t="shared" si="55"/>
        <v>45</v>
      </c>
      <c r="AE52" s="23">
        <f t="shared" si="48"/>
        <v>45</v>
      </c>
      <c r="AF52" s="23">
        <f t="shared" si="56"/>
        <v>45</v>
      </c>
      <c r="AG52" s="23">
        <f t="shared" si="56"/>
        <v>45</v>
      </c>
      <c r="AH52" s="23">
        <f t="shared" si="56"/>
        <v>45</v>
      </c>
      <c r="AI52" s="23">
        <f t="shared" si="49"/>
        <v>45</v>
      </c>
      <c r="AJ52" s="23">
        <f t="shared" si="49"/>
        <v>45</v>
      </c>
      <c r="AK52" s="23">
        <f t="shared" si="57"/>
        <v>45</v>
      </c>
      <c r="AL52" s="68">
        <v>2520</v>
      </c>
      <c r="AM52" s="4">
        <v>2</v>
      </c>
      <c r="AN52" s="15" t="s">
        <v>65</v>
      </c>
      <c r="AO52" s="15" t="s">
        <v>63</v>
      </c>
      <c r="AP52" s="15">
        <v>1969</v>
      </c>
      <c r="AQ52" s="15" t="s">
        <v>64</v>
      </c>
      <c r="AR52" s="15" t="s">
        <v>68</v>
      </c>
    </row>
    <row r="53" spans="1:44" x14ac:dyDescent="0.3">
      <c r="A53" s="1">
        <v>45</v>
      </c>
      <c r="B53" s="23">
        <v>0</v>
      </c>
      <c r="C53" s="23">
        <f t="shared" si="60"/>
        <v>0</v>
      </c>
      <c r="D53" s="23">
        <f t="shared" si="63"/>
        <v>0</v>
      </c>
      <c r="E53" s="23">
        <f t="shared" si="63"/>
        <v>0</v>
      </c>
      <c r="F53" s="23">
        <f>E53+0</f>
        <v>0</v>
      </c>
      <c r="G53" s="23">
        <f t="shared" si="59"/>
        <v>0</v>
      </c>
      <c r="H53" s="23">
        <f t="shared" si="50"/>
        <v>0</v>
      </c>
      <c r="I53" s="23">
        <f t="shared" si="67"/>
        <v>0</v>
      </c>
      <c r="J53" s="23">
        <f t="shared" ref="J53:J58" si="71">I53+0</f>
        <v>0</v>
      </c>
      <c r="K53" s="23">
        <f t="shared" si="68"/>
        <v>0</v>
      </c>
      <c r="L53" s="23">
        <f t="shared" si="40"/>
        <v>0</v>
      </c>
      <c r="M53" s="23">
        <f>L53+0</f>
        <v>0</v>
      </c>
      <c r="N53" s="23">
        <f t="shared" si="61"/>
        <v>0</v>
      </c>
      <c r="O53" s="23">
        <f t="shared" si="51"/>
        <v>0</v>
      </c>
      <c r="P53" s="23">
        <f t="shared" si="64"/>
        <v>0</v>
      </c>
      <c r="Q53" s="23">
        <f t="shared" si="69"/>
        <v>0</v>
      </c>
      <c r="R53" s="23">
        <f>Q53+18</f>
        <v>18</v>
      </c>
      <c r="S53" s="23">
        <f t="shared" si="45"/>
        <v>18</v>
      </c>
      <c r="T53" s="23">
        <f t="shared" si="52"/>
        <v>18</v>
      </c>
      <c r="U53" s="23">
        <f t="shared" si="65"/>
        <v>18</v>
      </c>
      <c r="V53" s="23">
        <f>U53+17</f>
        <v>35</v>
      </c>
      <c r="W53" s="23">
        <f t="shared" si="70"/>
        <v>35</v>
      </c>
      <c r="X53" s="23">
        <f t="shared" si="66"/>
        <v>35</v>
      </c>
      <c r="Y53" s="23">
        <f t="shared" si="54"/>
        <v>35</v>
      </c>
      <c r="Z53" s="23">
        <f t="shared" si="46"/>
        <v>35</v>
      </c>
      <c r="AA53" s="23">
        <f t="shared" si="46"/>
        <v>35</v>
      </c>
      <c r="AB53" s="23">
        <f t="shared" si="62"/>
        <v>35</v>
      </c>
      <c r="AC53" s="23">
        <f t="shared" si="47"/>
        <v>35</v>
      </c>
      <c r="AD53" s="23">
        <f t="shared" si="55"/>
        <v>35</v>
      </c>
      <c r="AE53" s="23">
        <f>AD53+10</f>
        <v>45</v>
      </c>
      <c r="AF53" s="23">
        <f t="shared" si="56"/>
        <v>45</v>
      </c>
      <c r="AG53" s="23">
        <f t="shared" si="56"/>
        <v>45</v>
      </c>
      <c r="AH53" s="23">
        <f t="shared" si="56"/>
        <v>45</v>
      </c>
      <c r="AI53" s="23">
        <f t="shared" si="49"/>
        <v>45</v>
      </c>
      <c r="AJ53" s="23">
        <f t="shared" si="49"/>
        <v>45</v>
      </c>
      <c r="AK53" s="23">
        <f t="shared" si="57"/>
        <v>45</v>
      </c>
      <c r="AL53" s="68">
        <v>2520</v>
      </c>
      <c r="AM53" s="4">
        <v>3</v>
      </c>
      <c r="AN53" s="15" t="s">
        <v>206</v>
      </c>
      <c r="AO53" s="15" t="s">
        <v>63</v>
      </c>
      <c r="AP53" s="15">
        <v>1969</v>
      </c>
      <c r="AQ53" s="15" t="s">
        <v>64</v>
      </c>
    </row>
    <row r="54" spans="1:44" x14ac:dyDescent="0.3">
      <c r="A54" s="1">
        <v>7</v>
      </c>
      <c r="B54" s="23">
        <v>0</v>
      </c>
      <c r="C54" s="23">
        <f t="shared" si="60"/>
        <v>0</v>
      </c>
      <c r="D54" s="23">
        <f t="shared" si="63"/>
        <v>0</v>
      </c>
      <c r="E54" s="23">
        <f t="shared" si="63"/>
        <v>0</v>
      </c>
      <c r="F54" s="23">
        <f>E54+1</f>
        <v>1</v>
      </c>
      <c r="G54" s="23">
        <f t="shared" si="59"/>
        <v>1</v>
      </c>
      <c r="H54" s="23">
        <f t="shared" si="50"/>
        <v>1</v>
      </c>
      <c r="I54" s="23">
        <f t="shared" si="67"/>
        <v>1</v>
      </c>
      <c r="J54" s="23">
        <f t="shared" si="71"/>
        <v>1</v>
      </c>
      <c r="K54" s="23">
        <f t="shared" si="68"/>
        <v>1</v>
      </c>
      <c r="L54" s="23">
        <f t="shared" si="40"/>
        <v>1</v>
      </c>
      <c r="M54" s="23">
        <f>L54+1</f>
        <v>2</v>
      </c>
      <c r="N54" s="23">
        <f t="shared" si="61"/>
        <v>2</v>
      </c>
      <c r="O54" s="23">
        <f t="shared" si="51"/>
        <v>2</v>
      </c>
      <c r="P54" s="23">
        <f t="shared" si="64"/>
        <v>2</v>
      </c>
      <c r="Q54" s="23">
        <f t="shared" si="69"/>
        <v>2</v>
      </c>
      <c r="R54" s="23">
        <f>Q54+4</f>
        <v>6</v>
      </c>
      <c r="S54" s="23">
        <f t="shared" si="45"/>
        <v>6</v>
      </c>
      <c r="T54" s="23">
        <f t="shared" si="52"/>
        <v>6</v>
      </c>
      <c r="U54" s="23">
        <f t="shared" si="65"/>
        <v>6</v>
      </c>
      <c r="V54" s="23">
        <f>U54+1</f>
        <v>7</v>
      </c>
      <c r="W54" s="23">
        <f t="shared" si="70"/>
        <v>7</v>
      </c>
      <c r="X54" s="23">
        <f t="shared" si="66"/>
        <v>7</v>
      </c>
      <c r="Y54" s="23">
        <f t="shared" si="54"/>
        <v>7</v>
      </c>
      <c r="Z54" s="23">
        <f t="shared" si="46"/>
        <v>7</v>
      </c>
      <c r="AA54" s="23">
        <f t="shared" si="46"/>
        <v>7</v>
      </c>
      <c r="AB54" s="23">
        <f t="shared" si="62"/>
        <v>7</v>
      </c>
      <c r="AC54" s="23">
        <f t="shared" si="47"/>
        <v>7</v>
      </c>
      <c r="AD54" s="23">
        <f t="shared" si="55"/>
        <v>7</v>
      </c>
      <c r="AE54" s="23">
        <f>AD54+0</f>
        <v>7</v>
      </c>
      <c r="AF54" s="23">
        <f t="shared" si="56"/>
        <v>7</v>
      </c>
      <c r="AG54" s="23">
        <f t="shared" si="56"/>
        <v>7</v>
      </c>
      <c r="AH54" s="23">
        <f t="shared" si="56"/>
        <v>7</v>
      </c>
      <c r="AI54" s="23">
        <f t="shared" si="49"/>
        <v>7</v>
      </c>
      <c r="AJ54" s="23">
        <f t="shared" si="49"/>
        <v>7</v>
      </c>
      <c r="AK54" s="23">
        <f t="shared" si="57"/>
        <v>7</v>
      </c>
      <c r="AL54" s="68">
        <v>2520</v>
      </c>
      <c r="AM54" s="4">
        <v>3</v>
      </c>
      <c r="AN54" s="15" t="s">
        <v>67</v>
      </c>
      <c r="AO54" s="15" t="s">
        <v>63</v>
      </c>
      <c r="AP54" s="15">
        <v>1969</v>
      </c>
      <c r="AQ54" s="15" t="s">
        <v>64</v>
      </c>
    </row>
    <row r="55" spans="1:44" x14ac:dyDescent="0.3">
      <c r="A55" s="1">
        <v>20</v>
      </c>
      <c r="B55" s="23">
        <v>0</v>
      </c>
      <c r="C55" s="23">
        <f t="shared" si="60"/>
        <v>0</v>
      </c>
      <c r="D55" s="23">
        <f t="shared" si="63"/>
        <v>0</v>
      </c>
      <c r="E55" s="23">
        <f t="shared" si="63"/>
        <v>0</v>
      </c>
      <c r="F55" s="23">
        <f t="shared" ref="F55:F97" si="72">E55+0</f>
        <v>0</v>
      </c>
      <c r="G55" s="23">
        <f t="shared" si="59"/>
        <v>0</v>
      </c>
      <c r="H55" s="23">
        <f t="shared" si="50"/>
        <v>0</v>
      </c>
      <c r="I55" s="23">
        <f t="shared" si="67"/>
        <v>0</v>
      </c>
      <c r="J55" s="23">
        <f t="shared" si="71"/>
        <v>0</v>
      </c>
      <c r="K55" s="23">
        <f t="shared" si="68"/>
        <v>0</v>
      </c>
      <c r="L55" s="23">
        <f t="shared" si="40"/>
        <v>0</v>
      </c>
      <c r="M55" s="23">
        <f>L55+4</f>
        <v>4</v>
      </c>
      <c r="N55" s="23">
        <f t="shared" si="61"/>
        <v>4</v>
      </c>
      <c r="O55" s="23">
        <f t="shared" si="51"/>
        <v>4</v>
      </c>
      <c r="P55" s="23">
        <f t="shared" si="64"/>
        <v>4</v>
      </c>
      <c r="Q55" s="23">
        <f t="shared" si="69"/>
        <v>4</v>
      </c>
      <c r="R55" s="23">
        <f>Q55+9</f>
        <v>13</v>
      </c>
      <c r="S55" s="23">
        <f t="shared" si="45"/>
        <v>13</v>
      </c>
      <c r="T55" s="23">
        <f t="shared" si="52"/>
        <v>13</v>
      </c>
      <c r="U55" s="23">
        <f t="shared" si="65"/>
        <v>13</v>
      </c>
      <c r="V55" s="23">
        <f>U55+5</f>
        <v>18</v>
      </c>
      <c r="W55" s="23">
        <f t="shared" si="70"/>
        <v>18</v>
      </c>
      <c r="X55" s="23">
        <f t="shared" si="66"/>
        <v>18</v>
      </c>
      <c r="Y55" s="23">
        <f t="shared" si="54"/>
        <v>18</v>
      </c>
      <c r="Z55" s="23">
        <f t="shared" si="46"/>
        <v>18</v>
      </c>
      <c r="AA55" s="23">
        <f t="shared" si="46"/>
        <v>18</v>
      </c>
      <c r="AB55" s="23">
        <f t="shared" si="62"/>
        <v>18</v>
      </c>
      <c r="AC55" s="23">
        <f t="shared" si="47"/>
        <v>18</v>
      </c>
      <c r="AD55" s="23">
        <f t="shared" si="55"/>
        <v>18</v>
      </c>
      <c r="AE55" s="23">
        <f>AD55+2</f>
        <v>20</v>
      </c>
      <c r="AF55" s="23">
        <f t="shared" si="56"/>
        <v>20</v>
      </c>
      <c r="AG55" s="23">
        <f t="shared" si="56"/>
        <v>20</v>
      </c>
      <c r="AH55" s="23">
        <f t="shared" si="56"/>
        <v>20</v>
      </c>
      <c r="AI55" s="23">
        <f t="shared" ref="AI55:AJ74" si="73">AH55+0</f>
        <v>20</v>
      </c>
      <c r="AJ55" s="23">
        <f t="shared" si="73"/>
        <v>20</v>
      </c>
      <c r="AK55" s="23">
        <f t="shared" si="57"/>
        <v>20</v>
      </c>
      <c r="AL55" s="68">
        <v>2520</v>
      </c>
      <c r="AM55" s="4">
        <v>3</v>
      </c>
      <c r="AN55" s="15" t="s">
        <v>66</v>
      </c>
      <c r="AO55" s="15" t="s">
        <v>63</v>
      </c>
      <c r="AP55" s="15">
        <v>1969</v>
      </c>
      <c r="AQ55" s="15" t="s">
        <v>64</v>
      </c>
    </row>
    <row r="56" spans="1:44" x14ac:dyDescent="0.3">
      <c r="A56" s="1">
        <v>28</v>
      </c>
      <c r="B56" s="23">
        <v>0</v>
      </c>
      <c r="C56" s="23">
        <f t="shared" si="60"/>
        <v>0</v>
      </c>
      <c r="D56" s="23">
        <f t="shared" si="63"/>
        <v>0</v>
      </c>
      <c r="E56" s="23">
        <f t="shared" si="63"/>
        <v>0</v>
      </c>
      <c r="F56" s="23">
        <f t="shared" si="72"/>
        <v>0</v>
      </c>
      <c r="G56" s="23">
        <f t="shared" si="59"/>
        <v>0</v>
      </c>
      <c r="H56" s="23">
        <f t="shared" si="50"/>
        <v>0</v>
      </c>
      <c r="I56" s="23">
        <f t="shared" si="67"/>
        <v>0</v>
      </c>
      <c r="J56" s="23">
        <f t="shared" si="71"/>
        <v>0</v>
      </c>
      <c r="K56" s="23">
        <f t="shared" si="68"/>
        <v>0</v>
      </c>
      <c r="L56" s="23">
        <f t="shared" si="40"/>
        <v>0</v>
      </c>
      <c r="M56" s="23">
        <f>L56+2</f>
        <v>2</v>
      </c>
      <c r="N56" s="23">
        <f t="shared" si="61"/>
        <v>2</v>
      </c>
      <c r="O56" s="23">
        <f t="shared" si="51"/>
        <v>2</v>
      </c>
      <c r="P56" s="23">
        <f t="shared" si="64"/>
        <v>2</v>
      </c>
      <c r="Q56" s="23">
        <f t="shared" si="69"/>
        <v>2</v>
      </c>
      <c r="R56" s="23">
        <f>Q56+11</f>
        <v>13</v>
      </c>
      <c r="S56" s="23">
        <f t="shared" si="45"/>
        <v>13</v>
      </c>
      <c r="T56" s="23">
        <f t="shared" si="52"/>
        <v>13</v>
      </c>
      <c r="U56" s="23">
        <f t="shared" si="65"/>
        <v>13</v>
      </c>
      <c r="V56" s="23">
        <f>U56+13</f>
        <v>26</v>
      </c>
      <c r="W56" s="23">
        <f t="shared" si="70"/>
        <v>26</v>
      </c>
      <c r="X56" s="23">
        <f t="shared" si="66"/>
        <v>26</v>
      </c>
      <c r="Y56" s="23">
        <f t="shared" si="54"/>
        <v>26</v>
      </c>
      <c r="Z56" s="23">
        <f t="shared" si="46"/>
        <v>26</v>
      </c>
      <c r="AA56" s="23">
        <f t="shared" si="46"/>
        <v>26</v>
      </c>
      <c r="AB56" s="23">
        <f t="shared" si="62"/>
        <v>26</v>
      </c>
      <c r="AC56" s="23">
        <f t="shared" si="47"/>
        <v>26</v>
      </c>
      <c r="AD56" s="23">
        <f t="shared" si="55"/>
        <v>26</v>
      </c>
      <c r="AE56" s="23">
        <f>AD56+2</f>
        <v>28</v>
      </c>
      <c r="AF56" s="23">
        <f t="shared" si="56"/>
        <v>28</v>
      </c>
      <c r="AG56" s="23">
        <f t="shared" si="56"/>
        <v>28</v>
      </c>
      <c r="AH56" s="23">
        <f t="shared" si="56"/>
        <v>28</v>
      </c>
      <c r="AI56" s="23">
        <f t="shared" si="73"/>
        <v>28</v>
      </c>
      <c r="AJ56" s="23">
        <f t="shared" si="73"/>
        <v>28</v>
      </c>
      <c r="AK56" s="23">
        <f t="shared" si="57"/>
        <v>28</v>
      </c>
      <c r="AL56" s="68">
        <v>2520</v>
      </c>
      <c r="AM56" s="4">
        <v>3</v>
      </c>
      <c r="AN56" s="15" t="s">
        <v>65</v>
      </c>
      <c r="AO56" s="15" t="s">
        <v>63</v>
      </c>
      <c r="AP56" s="15">
        <v>1969</v>
      </c>
      <c r="AQ56" s="15" t="s">
        <v>64</v>
      </c>
    </row>
    <row r="57" spans="1:44" x14ac:dyDescent="0.3">
      <c r="A57" s="1">
        <v>5</v>
      </c>
      <c r="B57" s="23">
        <v>0</v>
      </c>
      <c r="C57" s="23">
        <f>B57+1</f>
        <v>1</v>
      </c>
      <c r="D57" s="23">
        <f t="shared" si="63"/>
        <v>1</v>
      </c>
      <c r="E57" s="23">
        <f t="shared" si="63"/>
        <v>1</v>
      </c>
      <c r="F57" s="23">
        <f t="shared" si="72"/>
        <v>1</v>
      </c>
      <c r="G57" s="23">
        <f>F57+1</f>
        <v>2</v>
      </c>
      <c r="H57" s="23">
        <f t="shared" si="50"/>
        <v>2</v>
      </c>
      <c r="I57" s="23">
        <f t="shared" si="67"/>
        <v>2</v>
      </c>
      <c r="J57" s="23">
        <f t="shared" si="71"/>
        <v>2</v>
      </c>
      <c r="K57" s="23">
        <f t="shared" si="68"/>
        <v>2</v>
      </c>
      <c r="L57" s="23">
        <f>K57+3</f>
        <v>5</v>
      </c>
      <c r="M57" s="23">
        <f t="shared" ref="M57:M97" si="74">L57+0</f>
        <v>5</v>
      </c>
      <c r="N57" s="23">
        <f t="shared" si="61"/>
        <v>5</v>
      </c>
      <c r="O57" s="23">
        <f t="shared" si="51"/>
        <v>5</v>
      </c>
      <c r="P57" s="23">
        <f t="shared" si="64"/>
        <v>5</v>
      </c>
      <c r="Q57" s="23">
        <f t="shared" si="69"/>
        <v>5</v>
      </c>
      <c r="R57" s="23">
        <f t="shared" ref="R57:R88" si="75">Q57+0</f>
        <v>5</v>
      </c>
      <c r="S57" s="23">
        <f t="shared" si="45"/>
        <v>5</v>
      </c>
      <c r="T57" s="23">
        <f t="shared" si="52"/>
        <v>5</v>
      </c>
      <c r="U57" s="23">
        <f t="shared" si="65"/>
        <v>5</v>
      </c>
      <c r="V57" s="23">
        <f>U57+0</f>
        <v>5</v>
      </c>
      <c r="W57" s="23">
        <f t="shared" si="70"/>
        <v>5</v>
      </c>
      <c r="X57" s="23">
        <f t="shared" si="66"/>
        <v>5</v>
      </c>
      <c r="Y57" s="23">
        <f t="shared" si="54"/>
        <v>5</v>
      </c>
      <c r="Z57" s="23">
        <f t="shared" si="46"/>
        <v>5</v>
      </c>
      <c r="AA57" s="23">
        <f t="shared" si="46"/>
        <v>5</v>
      </c>
      <c r="AB57" s="23">
        <f t="shared" si="62"/>
        <v>5</v>
      </c>
      <c r="AC57" s="23">
        <f t="shared" si="47"/>
        <v>5</v>
      </c>
      <c r="AD57" s="23">
        <f t="shared" si="55"/>
        <v>5</v>
      </c>
      <c r="AE57" s="23">
        <f>AD57+0</f>
        <v>5</v>
      </c>
      <c r="AF57" s="23">
        <f t="shared" si="56"/>
        <v>5</v>
      </c>
      <c r="AG57" s="23">
        <f t="shared" si="56"/>
        <v>5</v>
      </c>
      <c r="AH57" s="23">
        <f t="shared" si="56"/>
        <v>5</v>
      </c>
      <c r="AI57" s="23">
        <f t="shared" si="73"/>
        <v>5</v>
      </c>
      <c r="AJ57" s="23">
        <f t="shared" si="73"/>
        <v>5</v>
      </c>
      <c r="AK57" s="23">
        <f t="shared" si="57"/>
        <v>5</v>
      </c>
      <c r="AL57" s="15">
        <v>14000</v>
      </c>
      <c r="AM57" s="4">
        <v>1</v>
      </c>
      <c r="AN57" s="15" t="s">
        <v>97</v>
      </c>
      <c r="AO57" s="15" t="s">
        <v>98</v>
      </c>
      <c r="AP57" s="15">
        <v>1961</v>
      </c>
      <c r="AQ57" s="15" t="s">
        <v>99</v>
      </c>
    </row>
    <row r="58" spans="1:44" x14ac:dyDescent="0.3">
      <c r="A58" s="1">
        <v>8</v>
      </c>
      <c r="B58" s="23">
        <v>0</v>
      </c>
      <c r="C58" s="23">
        <f t="shared" ref="C58:D61" si="76">B58+0</f>
        <v>0</v>
      </c>
      <c r="D58" s="23">
        <f t="shared" si="76"/>
        <v>0</v>
      </c>
      <c r="E58" s="23">
        <f>D58+5</f>
        <v>5</v>
      </c>
      <c r="F58" s="23">
        <f t="shared" si="72"/>
        <v>5</v>
      </c>
      <c r="G58" s="23">
        <f>F58+0</f>
        <v>5</v>
      </c>
      <c r="H58" s="23">
        <f t="shared" si="50"/>
        <v>5</v>
      </c>
      <c r="I58" s="23">
        <f>H58+1</f>
        <v>6</v>
      </c>
      <c r="J58" s="23">
        <f t="shared" si="71"/>
        <v>6</v>
      </c>
      <c r="K58" s="23">
        <f t="shared" si="68"/>
        <v>6</v>
      </c>
      <c r="L58" s="23">
        <f>K58+2</f>
        <v>8</v>
      </c>
      <c r="M58" s="23">
        <f t="shared" si="74"/>
        <v>8</v>
      </c>
      <c r="N58" s="23">
        <f t="shared" si="61"/>
        <v>8</v>
      </c>
      <c r="O58" s="23">
        <f t="shared" si="51"/>
        <v>8</v>
      </c>
      <c r="P58" s="23">
        <f t="shared" si="64"/>
        <v>8</v>
      </c>
      <c r="Q58" s="23">
        <f t="shared" si="69"/>
        <v>8</v>
      </c>
      <c r="R58" s="23">
        <f t="shared" si="75"/>
        <v>8</v>
      </c>
      <c r="S58" s="23">
        <f t="shared" si="45"/>
        <v>8</v>
      </c>
      <c r="T58" s="23">
        <f t="shared" si="52"/>
        <v>8</v>
      </c>
      <c r="U58" s="23">
        <f t="shared" si="65"/>
        <v>8</v>
      </c>
      <c r="V58" s="23">
        <f>U58+0</f>
        <v>8</v>
      </c>
      <c r="W58" s="23">
        <f t="shared" si="70"/>
        <v>8</v>
      </c>
      <c r="X58" s="23">
        <f t="shared" si="66"/>
        <v>8</v>
      </c>
      <c r="Y58" s="23">
        <f t="shared" si="54"/>
        <v>8</v>
      </c>
      <c r="Z58" s="23">
        <f t="shared" si="46"/>
        <v>8</v>
      </c>
      <c r="AA58" s="23">
        <f t="shared" si="46"/>
        <v>8</v>
      </c>
      <c r="AB58" s="23">
        <f t="shared" si="62"/>
        <v>8</v>
      </c>
      <c r="AC58" s="23">
        <f t="shared" si="47"/>
        <v>8</v>
      </c>
      <c r="AD58" s="23">
        <f t="shared" si="55"/>
        <v>8</v>
      </c>
      <c r="AE58" s="23">
        <f>AD58+0</f>
        <v>8</v>
      </c>
      <c r="AF58" s="23">
        <f t="shared" si="56"/>
        <v>8</v>
      </c>
      <c r="AG58" s="23">
        <f t="shared" si="56"/>
        <v>8</v>
      </c>
      <c r="AH58" s="23">
        <f t="shared" si="56"/>
        <v>8</v>
      </c>
      <c r="AI58" s="23">
        <f t="shared" si="73"/>
        <v>8</v>
      </c>
      <c r="AJ58" s="23">
        <f t="shared" si="73"/>
        <v>8</v>
      </c>
      <c r="AK58" s="23">
        <f t="shared" si="57"/>
        <v>8</v>
      </c>
      <c r="AL58" s="15">
        <v>14147</v>
      </c>
      <c r="AM58" s="4">
        <v>2</v>
      </c>
      <c r="AN58" s="15" t="s">
        <v>97</v>
      </c>
      <c r="AO58" s="15" t="s">
        <v>98</v>
      </c>
      <c r="AP58" s="15">
        <v>1961</v>
      </c>
      <c r="AQ58" s="15" t="s">
        <v>99</v>
      </c>
    </row>
    <row r="59" spans="1:44" x14ac:dyDescent="0.3">
      <c r="A59" s="1">
        <v>10</v>
      </c>
      <c r="B59" s="23">
        <v>0</v>
      </c>
      <c r="C59" s="23">
        <f t="shared" si="76"/>
        <v>0</v>
      </c>
      <c r="D59" s="23">
        <f t="shared" si="76"/>
        <v>0</v>
      </c>
      <c r="E59" s="23">
        <f t="shared" ref="E59:E79" si="77">D59+0</f>
        <v>0</v>
      </c>
      <c r="F59" s="23">
        <f t="shared" si="72"/>
        <v>0</v>
      </c>
      <c r="G59" s="23">
        <f>F59+3</f>
        <v>3</v>
      </c>
      <c r="H59" s="23">
        <f t="shared" si="50"/>
        <v>3</v>
      </c>
      <c r="I59" s="23">
        <f t="shared" ref="I59:I90" si="78">H59+0</f>
        <v>3</v>
      </c>
      <c r="J59" s="23">
        <f>I59+1</f>
        <v>4</v>
      </c>
      <c r="K59" s="23">
        <f t="shared" si="68"/>
        <v>4</v>
      </c>
      <c r="L59" s="23">
        <f>K59+0</f>
        <v>4</v>
      </c>
      <c r="M59" s="23">
        <f t="shared" si="74"/>
        <v>4</v>
      </c>
      <c r="N59" s="23">
        <f t="shared" si="61"/>
        <v>4</v>
      </c>
      <c r="O59" s="23">
        <f t="shared" si="51"/>
        <v>4</v>
      </c>
      <c r="P59" s="23">
        <f t="shared" si="64"/>
        <v>4</v>
      </c>
      <c r="Q59" s="23">
        <f t="shared" si="69"/>
        <v>4</v>
      </c>
      <c r="R59" s="23">
        <f t="shared" si="75"/>
        <v>4</v>
      </c>
      <c r="S59" s="23">
        <f>R59+2</f>
        <v>6</v>
      </c>
      <c r="T59" s="23">
        <f t="shared" si="52"/>
        <v>6</v>
      </c>
      <c r="U59" s="23">
        <f t="shared" si="65"/>
        <v>6</v>
      </c>
      <c r="V59" s="23">
        <f>U59+0</f>
        <v>6</v>
      </c>
      <c r="W59" s="23">
        <f>V59+2</f>
        <v>8</v>
      </c>
      <c r="X59" s="23">
        <f t="shared" si="66"/>
        <v>8</v>
      </c>
      <c r="Y59" s="23">
        <f t="shared" si="54"/>
        <v>8</v>
      </c>
      <c r="Z59" s="23">
        <f>Y59+2</f>
        <v>10</v>
      </c>
      <c r="AA59" s="23">
        <f t="shared" ref="AA59:AA90" si="79">Z59+0</f>
        <v>10</v>
      </c>
      <c r="AB59" s="23">
        <f t="shared" si="62"/>
        <v>10</v>
      </c>
      <c r="AC59" s="23">
        <f t="shared" si="47"/>
        <v>10</v>
      </c>
      <c r="AD59" s="23">
        <f t="shared" si="55"/>
        <v>10</v>
      </c>
      <c r="AE59" s="23">
        <f>AD59+0</f>
        <v>10</v>
      </c>
      <c r="AF59" s="23">
        <f t="shared" si="56"/>
        <v>10</v>
      </c>
      <c r="AG59" s="23">
        <f t="shared" si="56"/>
        <v>10</v>
      </c>
      <c r="AH59" s="23">
        <f t="shared" si="56"/>
        <v>10</v>
      </c>
      <c r="AI59" s="23">
        <f t="shared" si="73"/>
        <v>10</v>
      </c>
      <c r="AJ59" s="23">
        <f t="shared" si="73"/>
        <v>10</v>
      </c>
      <c r="AK59" s="23">
        <f t="shared" si="57"/>
        <v>10</v>
      </c>
      <c r="AL59" s="15">
        <v>14119</v>
      </c>
      <c r="AM59" s="4">
        <v>3</v>
      </c>
      <c r="AN59" s="15" t="s">
        <v>97</v>
      </c>
      <c r="AO59" s="15" t="s">
        <v>98</v>
      </c>
      <c r="AP59" s="15">
        <v>1961</v>
      </c>
      <c r="AQ59" s="15" t="s">
        <v>99</v>
      </c>
    </row>
    <row r="60" spans="1:44" x14ac:dyDescent="0.3">
      <c r="A60" s="1">
        <v>80</v>
      </c>
      <c r="B60" s="23">
        <v>0</v>
      </c>
      <c r="C60" s="23">
        <f t="shared" si="76"/>
        <v>0</v>
      </c>
      <c r="D60" s="23">
        <f t="shared" si="76"/>
        <v>0</v>
      </c>
      <c r="E60" s="23">
        <f t="shared" si="77"/>
        <v>0</v>
      </c>
      <c r="F60" s="23">
        <f t="shared" si="72"/>
        <v>0</v>
      </c>
      <c r="G60" s="23">
        <f t="shared" ref="G60:G79" si="80">F60+0</f>
        <v>0</v>
      </c>
      <c r="H60" s="23">
        <f>G60+1</f>
        <v>1</v>
      </c>
      <c r="I60" s="23">
        <f t="shared" si="78"/>
        <v>1</v>
      </c>
      <c r="J60" s="23">
        <f t="shared" ref="J60:J97" si="81">I60+0</f>
        <v>1</v>
      </c>
      <c r="K60" s="23">
        <f t="shared" si="68"/>
        <v>1</v>
      </c>
      <c r="L60" s="23">
        <f>K60+0</f>
        <v>1</v>
      </c>
      <c r="M60" s="23">
        <f t="shared" si="74"/>
        <v>1</v>
      </c>
      <c r="N60" s="23">
        <f t="shared" si="61"/>
        <v>1</v>
      </c>
      <c r="O60" s="23">
        <f>N60+4</f>
        <v>5</v>
      </c>
      <c r="P60" s="23">
        <f t="shared" si="64"/>
        <v>5</v>
      </c>
      <c r="Q60" s="23">
        <f t="shared" si="69"/>
        <v>5</v>
      </c>
      <c r="R60" s="23">
        <f t="shared" si="75"/>
        <v>5</v>
      </c>
      <c r="S60" s="23">
        <f>R60+3</f>
        <v>8</v>
      </c>
      <c r="T60" s="23">
        <f t="shared" si="52"/>
        <v>8</v>
      </c>
      <c r="U60" s="23">
        <f t="shared" si="65"/>
        <v>8</v>
      </c>
      <c r="V60" s="23">
        <f>U60+5</f>
        <v>13</v>
      </c>
      <c r="W60" s="23">
        <f t="shared" ref="W60:W97" si="82">V60+0</f>
        <v>13</v>
      </c>
      <c r="X60" s="23">
        <f t="shared" si="66"/>
        <v>13</v>
      </c>
      <c r="Y60" s="23">
        <f t="shared" si="54"/>
        <v>13</v>
      </c>
      <c r="Z60" s="23">
        <f>Y60+8</f>
        <v>21</v>
      </c>
      <c r="AA60" s="23">
        <f t="shared" si="79"/>
        <v>21</v>
      </c>
      <c r="AB60" s="23">
        <f t="shared" si="62"/>
        <v>21</v>
      </c>
      <c r="AC60" s="23">
        <f>AB60+15</f>
        <v>36</v>
      </c>
      <c r="AD60" s="23">
        <f t="shared" si="55"/>
        <v>36</v>
      </c>
      <c r="AE60" s="23">
        <f>AD60+4</f>
        <v>40</v>
      </c>
      <c r="AF60" s="23">
        <f>AE60+8</f>
        <v>48</v>
      </c>
      <c r="AG60" s="23">
        <f>AF60+19</f>
        <v>67</v>
      </c>
      <c r="AH60" s="23">
        <f>AG60+13</f>
        <v>80</v>
      </c>
      <c r="AI60" s="23">
        <f t="shared" si="73"/>
        <v>80</v>
      </c>
      <c r="AJ60" s="23">
        <f t="shared" si="73"/>
        <v>80</v>
      </c>
      <c r="AK60" s="23">
        <f t="shared" si="57"/>
        <v>80</v>
      </c>
      <c r="AL60" s="81">
        <v>365</v>
      </c>
      <c r="AM60" s="4">
        <v>1</v>
      </c>
      <c r="AN60" s="15" t="s">
        <v>418</v>
      </c>
      <c r="AO60" s="15" t="s">
        <v>414</v>
      </c>
      <c r="AP60" s="15">
        <v>1958</v>
      </c>
      <c r="AQ60" s="15" t="s">
        <v>416</v>
      </c>
    </row>
    <row r="61" spans="1:44" x14ac:dyDescent="0.3">
      <c r="A61" s="1">
        <v>69</v>
      </c>
      <c r="B61" s="23">
        <v>0</v>
      </c>
      <c r="C61" s="23">
        <f t="shared" si="76"/>
        <v>0</v>
      </c>
      <c r="D61" s="23">
        <f t="shared" si="76"/>
        <v>0</v>
      </c>
      <c r="E61" s="23">
        <f t="shared" si="77"/>
        <v>0</v>
      </c>
      <c r="F61" s="23">
        <f t="shared" si="72"/>
        <v>0</v>
      </c>
      <c r="G61" s="23">
        <f t="shared" si="80"/>
        <v>0</v>
      </c>
      <c r="H61" s="23">
        <f>G61+6</f>
        <v>6</v>
      </c>
      <c r="I61" s="23">
        <f t="shared" si="78"/>
        <v>6</v>
      </c>
      <c r="J61" s="23">
        <f t="shared" si="81"/>
        <v>6</v>
      </c>
      <c r="K61" s="23">
        <f t="shared" si="68"/>
        <v>6</v>
      </c>
      <c r="L61" s="23">
        <f>K61+11</f>
        <v>17</v>
      </c>
      <c r="M61" s="23">
        <f t="shared" si="74"/>
        <v>17</v>
      </c>
      <c r="N61" s="23">
        <f t="shared" si="61"/>
        <v>17</v>
      </c>
      <c r="O61" s="23">
        <f>N61+8</f>
        <v>25</v>
      </c>
      <c r="P61" s="23">
        <f t="shared" si="64"/>
        <v>25</v>
      </c>
      <c r="Q61" s="23">
        <f t="shared" si="69"/>
        <v>25</v>
      </c>
      <c r="R61" s="23">
        <f t="shared" si="75"/>
        <v>25</v>
      </c>
      <c r="S61" s="23">
        <f>R61+11</f>
        <v>36</v>
      </c>
      <c r="T61" s="23">
        <f t="shared" si="52"/>
        <v>36</v>
      </c>
      <c r="U61" s="23">
        <f t="shared" si="65"/>
        <v>36</v>
      </c>
      <c r="V61" s="23">
        <f>U61+5</f>
        <v>41</v>
      </c>
      <c r="W61" s="23">
        <f t="shared" si="82"/>
        <v>41</v>
      </c>
      <c r="X61" s="23">
        <f t="shared" si="66"/>
        <v>41</v>
      </c>
      <c r="Y61" s="23">
        <f t="shared" si="54"/>
        <v>41</v>
      </c>
      <c r="Z61" s="23">
        <f>Y61+2</f>
        <v>43</v>
      </c>
      <c r="AA61" s="23">
        <f t="shared" si="79"/>
        <v>43</v>
      </c>
      <c r="AB61" s="23">
        <f t="shared" si="62"/>
        <v>43</v>
      </c>
      <c r="AC61" s="23">
        <f>AB61+12</f>
        <v>55</v>
      </c>
      <c r="AD61" s="23">
        <f t="shared" si="55"/>
        <v>55</v>
      </c>
      <c r="AE61" s="23">
        <f>AD61+7</f>
        <v>62</v>
      </c>
      <c r="AF61" s="23">
        <f t="shared" ref="AF61:AF97" si="83">AE61+0</f>
        <v>62</v>
      </c>
      <c r="AG61" s="23">
        <f>AF61+5</f>
        <v>67</v>
      </c>
      <c r="AH61" s="23">
        <f>AG61+2</f>
        <v>69</v>
      </c>
      <c r="AI61" s="23">
        <f t="shared" si="73"/>
        <v>69</v>
      </c>
      <c r="AJ61" s="23">
        <f t="shared" si="73"/>
        <v>69</v>
      </c>
      <c r="AK61" s="23">
        <f t="shared" si="57"/>
        <v>69</v>
      </c>
      <c r="AL61" s="81">
        <v>365</v>
      </c>
      <c r="AM61" s="4">
        <v>1</v>
      </c>
      <c r="AN61" s="15" t="s">
        <v>415</v>
      </c>
      <c r="AO61" s="15" t="s">
        <v>414</v>
      </c>
      <c r="AP61" s="15">
        <v>1958</v>
      </c>
      <c r="AQ61" s="15" t="s">
        <v>416</v>
      </c>
    </row>
    <row r="62" spans="1:44" x14ac:dyDescent="0.3">
      <c r="A62" s="1">
        <v>6.666666666666667</v>
      </c>
      <c r="B62" s="23">
        <v>0</v>
      </c>
      <c r="C62" s="23">
        <f t="shared" ref="C62:C98" si="84">B62+0</f>
        <v>0</v>
      </c>
      <c r="D62" s="23">
        <f>C62+1</f>
        <v>1</v>
      </c>
      <c r="E62" s="23">
        <f t="shared" si="77"/>
        <v>1</v>
      </c>
      <c r="F62" s="23">
        <f t="shared" si="72"/>
        <v>1</v>
      </c>
      <c r="G62" s="23">
        <f t="shared" si="80"/>
        <v>1</v>
      </c>
      <c r="H62" s="23">
        <f>G62+13</f>
        <v>14</v>
      </c>
      <c r="I62" s="23">
        <f t="shared" si="78"/>
        <v>14</v>
      </c>
      <c r="J62" s="23">
        <f t="shared" si="81"/>
        <v>14</v>
      </c>
      <c r="K62" s="23">
        <f t="shared" si="68"/>
        <v>14</v>
      </c>
      <c r="L62" s="23">
        <f t="shared" ref="L62:L79" si="85">K62+0</f>
        <v>14</v>
      </c>
      <c r="M62" s="23">
        <f t="shared" si="74"/>
        <v>14</v>
      </c>
      <c r="N62" s="23">
        <f t="shared" si="61"/>
        <v>14</v>
      </c>
      <c r="O62" s="23">
        <f>N62+23</f>
        <v>37</v>
      </c>
      <c r="P62" s="23">
        <f t="shared" si="64"/>
        <v>37</v>
      </c>
      <c r="Q62" s="23">
        <f t="shared" si="69"/>
        <v>37</v>
      </c>
      <c r="R62" s="23">
        <f t="shared" si="75"/>
        <v>37</v>
      </c>
      <c r="S62" s="23">
        <f t="shared" ref="S62:S88" si="86">R62+0</f>
        <v>37</v>
      </c>
      <c r="T62" s="23">
        <f t="shared" si="52"/>
        <v>37</v>
      </c>
      <c r="U62" s="23">
        <f t="shared" si="65"/>
        <v>37</v>
      </c>
      <c r="V62" s="23">
        <f t="shared" ref="V62:V93" si="87">U62+0</f>
        <v>37</v>
      </c>
      <c r="W62" s="23">
        <f t="shared" si="82"/>
        <v>37</v>
      </c>
      <c r="X62" s="23">
        <f t="shared" si="66"/>
        <v>37</v>
      </c>
      <c r="Y62" s="23">
        <f t="shared" si="54"/>
        <v>37</v>
      </c>
      <c r="Z62" s="23">
        <f t="shared" ref="Z62:Z91" si="88">Y62+0</f>
        <v>37</v>
      </c>
      <c r="AA62" s="23">
        <f t="shared" si="79"/>
        <v>37</v>
      </c>
      <c r="AB62" s="23">
        <f t="shared" si="62"/>
        <v>37</v>
      </c>
      <c r="AC62" s="23">
        <f t="shared" ref="AC62:AC93" si="89">AB62+0</f>
        <v>37</v>
      </c>
      <c r="AD62" s="23">
        <f t="shared" si="55"/>
        <v>37</v>
      </c>
      <c r="AE62" s="23">
        <f t="shared" ref="AE62:AE89" si="90">AD62+0</f>
        <v>37</v>
      </c>
      <c r="AF62" s="23">
        <f t="shared" si="83"/>
        <v>37</v>
      </c>
      <c r="AG62" s="23">
        <f t="shared" ref="AG62:AH88" si="91">AF62+0</f>
        <v>37</v>
      </c>
      <c r="AH62" s="23">
        <f t="shared" si="91"/>
        <v>37</v>
      </c>
      <c r="AI62" s="23">
        <f t="shared" si="73"/>
        <v>37</v>
      </c>
      <c r="AJ62" s="23">
        <f t="shared" si="73"/>
        <v>37</v>
      </c>
      <c r="AK62" s="23">
        <f t="shared" si="57"/>
        <v>37</v>
      </c>
      <c r="AL62" s="81">
        <v>180</v>
      </c>
      <c r="AM62" s="4">
        <v>1</v>
      </c>
      <c r="AN62" s="15" t="s">
        <v>290</v>
      </c>
      <c r="AO62" s="15" t="s">
        <v>166</v>
      </c>
      <c r="AP62" s="15">
        <v>1966</v>
      </c>
      <c r="AQ62" s="15" t="s">
        <v>208</v>
      </c>
    </row>
    <row r="63" spans="1:44" x14ac:dyDescent="0.3">
      <c r="A63" s="1">
        <v>6.666666666666667</v>
      </c>
      <c r="B63" s="23">
        <v>0</v>
      </c>
      <c r="C63" s="23">
        <f t="shared" si="84"/>
        <v>0</v>
      </c>
      <c r="D63" s="23">
        <f>C63+1</f>
        <v>1</v>
      </c>
      <c r="E63" s="23">
        <f t="shared" si="77"/>
        <v>1</v>
      </c>
      <c r="F63" s="23">
        <f t="shared" si="72"/>
        <v>1</v>
      </c>
      <c r="G63" s="23">
        <f t="shared" si="80"/>
        <v>1</v>
      </c>
      <c r="H63" s="23">
        <f>G63+13</f>
        <v>14</v>
      </c>
      <c r="I63" s="23">
        <f t="shared" si="78"/>
        <v>14</v>
      </c>
      <c r="J63" s="23">
        <f t="shared" si="81"/>
        <v>14</v>
      </c>
      <c r="K63" s="23">
        <f t="shared" si="68"/>
        <v>14</v>
      </c>
      <c r="L63" s="23">
        <f t="shared" si="85"/>
        <v>14</v>
      </c>
      <c r="M63" s="23">
        <f t="shared" si="74"/>
        <v>14</v>
      </c>
      <c r="N63" s="23">
        <f t="shared" si="61"/>
        <v>14</v>
      </c>
      <c r="O63" s="23">
        <f>N63+23</f>
        <v>37</v>
      </c>
      <c r="P63" s="23">
        <f t="shared" si="64"/>
        <v>37</v>
      </c>
      <c r="Q63" s="23">
        <f t="shared" si="69"/>
        <v>37</v>
      </c>
      <c r="R63" s="23">
        <f t="shared" si="75"/>
        <v>37</v>
      </c>
      <c r="S63" s="23">
        <f t="shared" si="86"/>
        <v>37</v>
      </c>
      <c r="T63" s="23">
        <f t="shared" si="52"/>
        <v>37</v>
      </c>
      <c r="U63" s="23">
        <f t="shared" si="65"/>
        <v>37</v>
      </c>
      <c r="V63" s="23">
        <f t="shared" si="87"/>
        <v>37</v>
      </c>
      <c r="W63" s="23">
        <f t="shared" si="82"/>
        <v>37</v>
      </c>
      <c r="X63" s="23">
        <f t="shared" si="66"/>
        <v>37</v>
      </c>
      <c r="Y63" s="23">
        <f t="shared" si="54"/>
        <v>37</v>
      </c>
      <c r="Z63" s="23">
        <f t="shared" si="88"/>
        <v>37</v>
      </c>
      <c r="AA63" s="23">
        <f t="shared" si="79"/>
        <v>37</v>
      </c>
      <c r="AB63" s="23">
        <f t="shared" si="62"/>
        <v>37</v>
      </c>
      <c r="AC63" s="23">
        <f t="shared" si="89"/>
        <v>37</v>
      </c>
      <c r="AD63" s="23">
        <f t="shared" si="55"/>
        <v>37</v>
      </c>
      <c r="AE63" s="23">
        <f t="shared" si="90"/>
        <v>37</v>
      </c>
      <c r="AF63" s="23">
        <f t="shared" si="83"/>
        <v>37</v>
      </c>
      <c r="AG63" s="23">
        <f t="shared" si="91"/>
        <v>37</v>
      </c>
      <c r="AH63" s="23">
        <f t="shared" si="91"/>
        <v>37</v>
      </c>
      <c r="AI63" s="23">
        <f t="shared" si="73"/>
        <v>37</v>
      </c>
      <c r="AJ63" s="23">
        <f t="shared" si="73"/>
        <v>37</v>
      </c>
      <c r="AK63" s="23">
        <f t="shared" si="57"/>
        <v>37</v>
      </c>
      <c r="AL63" s="15">
        <v>180</v>
      </c>
      <c r="AM63" s="4">
        <v>1</v>
      </c>
      <c r="AN63" s="15" t="s">
        <v>291</v>
      </c>
      <c r="AO63" s="15" t="s">
        <v>166</v>
      </c>
      <c r="AP63" s="15">
        <v>1966</v>
      </c>
      <c r="AQ63" s="15" t="s">
        <v>208</v>
      </c>
    </row>
    <row r="64" spans="1:44" x14ac:dyDescent="0.3">
      <c r="A64" s="1">
        <v>9.5238095238095237</v>
      </c>
      <c r="B64" s="23">
        <v>0</v>
      </c>
      <c r="C64" s="23">
        <f t="shared" si="84"/>
        <v>0</v>
      </c>
      <c r="D64" s="23">
        <f>C64+1</f>
        <v>1</v>
      </c>
      <c r="E64" s="23">
        <f t="shared" si="77"/>
        <v>1</v>
      </c>
      <c r="F64" s="23">
        <f t="shared" si="72"/>
        <v>1</v>
      </c>
      <c r="G64" s="23">
        <f t="shared" si="80"/>
        <v>1</v>
      </c>
      <c r="H64" s="23">
        <f>G64+13</f>
        <v>14</v>
      </c>
      <c r="I64" s="23">
        <f t="shared" si="78"/>
        <v>14</v>
      </c>
      <c r="J64" s="23">
        <f t="shared" si="81"/>
        <v>14</v>
      </c>
      <c r="K64" s="23">
        <f t="shared" si="68"/>
        <v>14</v>
      </c>
      <c r="L64" s="23">
        <f t="shared" si="85"/>
        <v>14</v>
      </c>
      <c r="M64" s="23">
        <f t="shared" si="74"/>
        <v>14</v>
      </c>
      <c r="N64" s="23">
        <f t="shared" si="61"/>
        <v>14</v>
      </c>
      <c r="O64" s="23">
        <f>N64+23</f>
        <v>37</v>
      </c>
      <c r="P64" s="23">
        <f t="shared" si="64"/>
        <v>37</v>
      </c>
      <c r="Q64" s="23">
        <f t="shared" si="69"/>
        <v>37</v>
      </c>
      <c r="R64" s="23">
        <f t="shared" si="75"/>
        <v>37</v>
      </c>
      <c r="S64" s="23">
        <f t="shared" si="86"/>
        <v>37</v>
      </c>
      <c r="T64" s="23">
        <f t="shared" si="52"/>
        <v>37</v>
      </c>
      <c r="U64" s="23">
        <f t="shared" si="65"/>
        <v>37</v>
      </c>
      <c r="V64" s="23">
        <f t="shared" si="87"/>
        <v>37</v>
      </c>
      <c r="W64" s="23">
        <f t="shared" si="82"/>
        <v>37</v>
      </c>
      <c r="X64" s="23">
        <f t="shared" si="66"/>
        <v>37</v>
      </c>
      <c r="Y64" s="23">
        <f t="shared" si="54"/>
        <v>37</v>
      </c>
      <c r="Z64" s="23">
        <f t="shared" si="88"/>
        <v>37</v>
      </c>
      <c r="AA64" s="23">
        <f t="shared" si="79"/>
        <v>37</v>
      </c>
      <c r="AB64" s="23">
        <f t="shared" si="62"/>
        <v>37</v>
      </c>
      <c r="AC64" s="23">
        <f t="shared" si="89"/>
        <v>37</v>
      </c>
      <c r="AD64" s="23">
        <f t="shared" si="55"/>
        <v>37</v>
      </c>
      <c r="AE64" s="23">
        <f t="shared" si="90"/>
        <v>37</v>
      </c>
      <c r="AF64" s="23">
        <f t="shared" si="83"/>
        <v>37</v>
      </c>
      <c r="AG64" s="23">
        <f t="shared" si="91"/>
        <v>37</v>
      </c>
      <c r="AH64" s="23">
        <f t="shared" si="91"/>
        <v>37</v>
      </c>
      <c r="AI64" s="23">
        <f t="shared" si="73"/>
        <v>37</v>
      </c>
      <c r="AJ64" s="23">
        <f t="shared" si="73"/>
        <v>37</v>
      </c>
      <c r="AK64" s="23">
        <f t="shared" si="57"/>
        <v>37</v>
      </c>
      <c r="AL64" s="15">
        <v>180</v>
      </c>
      <c r="AM64" s="4">
        <v>1</v>
      </c>
      <c r="AN64" s="15" t="s">
        <v>292</v>
      </c>
      <c r="AO64" s="15" t="s">
        <v>166</v>
      </c>
      <c r="AP64" s="15">
        <v>1966</v>
      </c>
      <c r="AQ64" s="15" t="s">
        <v>208</v>
      </c>
    </row>
    <row r="65" spans="1:44" x14ac:dyDescent="0.3">
      <c r="A65" s="1">
        <v>8.5714285714285712</v>
      </c>
      <c r="B65" s="23">
        <v>0</v>
      </c>
      <c r="C65" s="23">
        <f t="shared" si="84"/>
        <v>0</v>
      </c>
      <c r="D65" s="23">
        <f>C65+1</f>
        <v>1</v>
      </c>
      <c r="E65" s="23">
        <f t="shared" si="77"/>
        <v>1</v>
      </c>
      <c r="F65" s="23">
        <f t="shared" si="72"/>
        <v>1</v>
      </c>
      <c r="G65" s="23">
        <f t="shared" si="80"/>
        <v>1</v>
      </c>
      <c r="H65" s="23">
        <f>G65+13</f>
        <v>14</v>
      </c>
      <c r="I65" s="23">
        <f t="shared" si="78"/>
        <v>14</v>
      </c>
      <c r="J65" s="23">
        <f t="shared" si="81"/>
        <v>14</v>
      </c>
      <c r="K65" s="23">
        <f t="shared" si="68"/>
        <v>14</v>
      </c>
      <c r="L65" s="23">
        <f t="shared" si="85"/>
        <v>14</v>
      </c>
      <c r="M65" s="23">
        <f t="shared" si="74"/>
        <v>14</v>
      </c>
      <c r="N65" s="23">
        <f t="shared" si="61"/>
        <v>14</v>
      </c>
      <c r="O65" s="23">
        <f>N65+23</f>
        <v>37</v>
      </c>
      <c r="P65" s="23">
        <f t="shared" si="64"/>
        <v>37</v>
      </c>
      <c r="Q65" s="23">
        <f t="shared" si="69"/>
        <v>37</v>
      </c>
      <c r="R65" s="23">
        <f t="shared" si="75"/>
        <v>37</v>
      </c>
      <c r="S65" s="23">
        <f t="shared" si="86"/>
        <v>37</v>
      </c>
      <c r="T65" s="23">
        <f t="shared" si="52"/>
        <v>37</v>
      </c>
      <c r="U65" s="23">
        <f t="shared" si="65"/>
        <v>37</v>
      </c>
      <c r="V65" s="23">
        <f t="shared" si="87"/>
        <v>37</v>
      </c>
      <c r="W65" s="23">
        <f t="shared" si="82"/>
        <v>37</v>
      </c>
      <c r="X65" s="23">
        <f t="shared" si="66"/>
        <v>37</v>
      </c>
      <c r="Y65" s="23">
        <f t="shared" si="54"/>
        <v>37</v>
      </c>
      <c r="Z65" s="23">
        <f t="shared" si="88"/>
        <v>37</v>
      </c>
      <c r="AA65" s="23">
        <f t="shared" si="79"/>
        <v>37</v>
      </c>
      <c r="AB65" s="23">
        <f t="shared" si="62"/>
        <v>37</v>
      </c>
      <c r="AC65" s="23">
        <f t="shared" si="89"/>
        <v>37</v>
      </c>
      <c r="AD65" s="23">
        <f t="shared" si="55"/>
        <v>37</v>
      </c>
      <c r="AE65" s="23">
        <f t="shared" si="90"/>
        <v>37</v>
      </c>
      <c r="AF65" s="23">
        <f t="shared" si="83"/>
        <v>37</v>
      </c>
      <c r="AG65" s="23">
        <f t="shared" si="91"/>
        <v>37</v>
      </c>
      <c r="AH65" s="23">
        <f t="shared" si="91"/>
        <v>37</v>
      </c>
      <c r="AI65" s="23">
        <f t="shared" si="73"/>
        <v>37</v>
      </c>
      <c r="AJ65" s="23">
        <f t="shared" si="73"/>
        <v>37</v>
      </c>
      <c r="AK65" s="23">
        <f t="shared" si="57"/>
        <v>37</v>
      </c>
      <c r="AL65" s="81">
        <v>180</v>
      </c>
      <c r="AM65" s="4">
        <v>1</v>
      </c>
      <c r="AN65" s="15" t="s">
        <v>293</v>
      </c>
      <c r="AO65" s="15" t="s">
        <v>166</v>
      </c>
      <c r="AP65" s="15">
        <v>1966</v>
      </c>
      <c r="AQ65" s="15" t="s">
        <v>208</v>
      </c>
    </row>
    <row r="66" spans="1:44" x14ac:dyDescent="0.3">
      <c r="A66" s="1">
        <v>8.5714285714285712</v>
      </c>
      <c r="B66" s="23">
        <v>0</v>
      </c>
      <c r="C66" s="23">
        <f t="shared" si="84"/>
        <v>0</v>
      </c>
      <c r="D66" s="23">
        <f>C66+1</f>
        <v>1</v>
      </c>
      <c r="E66" s="23">
        <f t="shared" si="77"/>
        <v>1</v>
      </c>
      <c r="F66" s="23">
        <f t="shared" si="72"/>
        <v>1</v>
      </c>
      <c r="G66" s="23">
        <f t="shared" si="80"/>
        <v>1</v>
      </c>
      <c r="H66" s="23">
        <f>G66+13</f>
        <v>14</v>
      </c>
      <c r="I66" s="23">
        <f t="shared" si="78"/>
        <v>14</v>
      </c>
      <c r="J66" s="23">
        <f t="shared" si="81"/>
        <v>14</v>
      </c>
      <c r="K66" s="23">
        <f t="shared" si="68"/>
        <v>14</v>
      </c>
      <c r="L66" s="23">
        <f t="shared" si="85"/>
        <v>14</v>
      </c>
      <c r="M66" s="23">
        <f t="shared" si="74"/>
        <v>14</v>
      </c>
      <c r="N66" s="23">
        <f t="shared" si="61"/>
        <v>14</v>
      </c>
      <c r="O66" s="23">
        <f>N66+23</f>
        <v>37</v>
      </c>
      <c r="P66" s="23">
        <f t="shared" si="64"/>
        <v>37</v>
      </c>
      <c r="Q66" s="23">
        <f t="shared" si="69"/>
        <v>37</v>
      </c>
      <c r="R66" s="23">
        <f t="shared" si="75"/>
        <v>37</v>
      </c>
      <c r="S66" s="23">
        <f t="shared" si="86"/>
        <v>37</v>
      </c>
      <c r="T66" s="23">
        <f t="shared" si="52"/>
        <v>37</v>
      </c>
      <c r="U66" s="23">
        <f t="shared" si="65"/>
        <v>37</v>
      </c>
      <c r="V66" s="23">
        <f t="shared" si="87"/>
        <v>37</v>
      </c>
      <c r="W66" s="23">
        <f t="shared" si="82"/>
        <v>37</v>
      </c>
      <c r="X66" s="23">
        <f t="shared" si="66"/>
        <v>37</v>
      </c>
      <c r="Y66" s="23">
        <f t="shared" si="54"/>
        <v>37</v>
      </c>
      <c r="Z66" s="23">
        <f t="shared" si="88"/>
        <v>37</v>
      </c>
      <c r="AA66" s="23">
        <f t="shared" si="79"/>
        <v>37</v>
      </c>
      <c r="AB66" s="23">
        <f t="shared" si="62"/>
        <v>37</v>
      </c>
      <c r="AC66" s="23">
        <f t="shared" si="89"/>
        <v>37</v>
      </c>
      <c r="AD66" s="23">
        <f t="shared" si="55"/>
        <v>37</v>
      </c>
      <c r="AE66" s="23">
        <f t="shared" si="90"/>
        <v>37</v>
      </c>
      <c r="AF66" s="23">
        <f t="shared" si="83"/>
        <v>37</v>
      </c>
      <c r="AG66" s="23">
        <f t="shared" si="91"/>
        <v>37</v>
      </c>
      <c r="AH66" s="23">
        <f t="shared" si="91"/>
        <v>37</v>
      </c>
      <c r="AI66" s="23">
        <f t="shared" si="73"/>
        <v>37</v>
      </c>
      <c r="AJ66" s="23">
        <f t="shared" si="73"/>
        <v>37</v>
      </c>
      <c r="AK66" s="23">
        <f t="shared" si="57"/>
        <v>37</v>
      </c>
      <c r="AL66" s="81">
        <v>180</v>
      </c>
      <c r="AM66" s="4">
        <v>1</v>
      </c>
      <c r="AN66" s="15" t="s">
        <v>294</v>
      </c>
      <c r="AO66" s="15" t="s">
        <v>166</v>
      </c>
      <c r="AP66" s="15">
        <v>1966</v>
      </c>
      <c r="AQ66" s="15" t="s">
        <v>208</v>
      </c>
    </row>
    <row r="67" spans="1:44" x14ac:dyDescent="0.3">
      <c r="A67" s="1">
        <v>5</v>
      </c>
      <c r="B67" s="23">
        <v>0</v>
      </c>
      <c r="C67" s="23">
        <f t="shared" si="84"/>
        <v>0</v>
      </c>
      <c r="D67" s="23">
        <f t="shared" ref="D67:D76" si="92">C67+0</f>
        <v>0</v>
      </c>
      <c r="E67" s="23">
        <f t="shared" si="77"/>
        <v>0</v>
      </c>
      <c r="F67" s="23">
        <f t="shared" si="72"/>
        <v>0</v>
      </c>
      <c r="G67" s="23">
        <f t="shared" si="80"/>
        <v>0</v>
      </c>
      <c r="H67" s="23">
        <f>G67+2</f>
        <v>2</v>
      </c>
      <c r="I67" s="23">
        <f t="shared" si="78"/>
        <v>2</v>
      </c>
      <c r="J67" s="23">
        <f t="shared" si="81"/>
        <v>2</v>
      </c>
      <c r="K67" s="23">
        <f t="shared" si="68"/>
        <v>2</v>
      </c>
      <c r="L67" s="23">
        <f t="shared" si="85"/>
        <v>2</v>
      </c>
      <c r="M67" s="23">
        <f t="shared" si="74"/>
        <v>2</v>
      </c>
      <c r="N67" s="23">
        <f t="shared" si="61"/>
        <v>2</v>
      </c>
      <c r="O67" s="23">
        <f>N67+34</f>
        <v>36</v>
      </c>
      <c r="P67" s="23">
        <f t="shared" si="64"/>
        <v>36</v>
      </c>
      <c r="Q67" s="23">
        <f t="shared" si="69"/>
        <v>36</v>
      </c>
      <c r="R67" s="23">
        <f t="shared" si="75"/>
        <v>36</v>
      </c>
      <c r="S67" s="23">
        <f t="shared" si="86"/>
        <v>36</v>
      </c>
      <c r="T67" s="23">
        <f t="shared" si="52"/>
        <v>36</v>
      </c>
      <c r="U67" s="23">
        <f t="shared" si="65"/>
        <v>36</v>
      </c>
      <c r="V67" s="23">
        <f t="shared" si="87"/>
        <v>36</v>
      </c>
      <c r="W67" s="23">
        <f t="shared" si="82"/>
        <v>36</v>
      </c>
      <c r="X67" s="23">
        <f t="shared" si="66"/>
        <v>36</v>
      </c>
      <c r="Y67" s="23">
        <f t="shared" si="54"/>
        <v>36</v>
      </c>
      <c r="Z67" s="23">
        <f t="shared" si="88"/>
        <v>36</v>
      </c>
      <c r="AA67" s="23">
        <f t="shared" si="79"/>
        <v>36</v>
      </c>
      <c r="AB67" s="23">
        <f t="shared" si="62"/>
        <v>36</v>
      </c>
      <c r="AC67" s="23">
        <f t="shared" si="89"/>
        <v>36</v>
      </c>
      <c r="AD67" s="23">
        <f t="shared" si="55"/>
        <v>36</v>
      </c>
      <c r="AE67" s="23">
        <f t="shared" si="90"/>
        <v>36</v>
      </c>
      <c r="AF67" s="23">
        <f t="shared" si="83"/>
        <v>36</v>
      </c>
      <c r="AG67" s="23">
        <f t="shared" si="91"/>
        <v>36</v>
      </c>
      <c r="AH67" s="23">
        <f t="shared" si="91"/>
        <v>36</v>
      </c>
      <c r="AI67" s="23">
        <f t="shared" si="73"/>
        <v>36</v>
      </c>
      <c r="AJ67" s="23">
        <f t="shared" si="73"/>
        <v>36</v>
      </c>
      <c r="AK67" s="23">
        <f t="shared" si="57"/>
        <v>36</v>
      </c>
      <c r="AL67" s="81">
        <v>180</v>
      </c>
      <c r="AM67" s="4">
        <v>1</v>
      </c>
      <c r="AN67" s="15" t="s">
        <v>171</v>
      </c>
      <c r="AO67" s="15" t="s">
        <v>166</v>
      </c>
      <c r="AP67" s="15">
        <v>1966</v>
      </c>
      <c r="AQ67" s="15" t="s">
        <v>208</v>
      </c>
      <c r="AR67" s="15" t="s">
        <v>300</v>
      </c>
    </row>
    <row r="68" spans="1:44" x14ac:dyDescent="0.3">
      <c r="A68" s="1">
        <v>6</v>
      </c>
      <c r="B68" s="23">
        <v>0</v>
      </c>
      <c r="C68" s="23">
        <f t="shared" si="84"/>
        <v>0</v>
      </c>
      <c r="D68" s="23">
        <f t="shared" si="92"/>
        <v>0</v>
      </c>
      <c r="E68" s="23">
        <f t="shared" si="77"/>
        <v>0</v>
      </c>
      <c r="F68" s="23">
        <f t="shared" si="72"/>
        <v>0</v>
      </c>
      <c r="G68" s="23">
        <f t="shared" si="80"/>
        <v>0</v>
      </c>
      <c r="H68" s="23">
        <f>G68+2</f>
        <v>2</v>
      </c>
      <c r="I68" s="23">
        <f t="shared" si="78"/>
        <v>2</v>
      </c>
      <c r="J68" s="23">
        <f t="shared" si="81"/>
        <v>2</v>
      </c>
      <c r="K68" s="23">
        <f t="shared" si="68"/>
        <v>2</v>
      </c>
      <c r="L68" s="23">
        <f t="shared" si="85"/>
        <v>2</v>
      </c>
      <c r="M68" s="23">
        <f t="shared" si="74"/>
        <v>2</v>
      </c>
      <c r="N68" s="23">
        <f t="shared" si="61"/>
        <v>2</v>
      </c>
      <c r="O68" s="23">
        <f>N68+34</f>
        <v>36</v>
      </c>
      <c r="P68" s="23">
        <f t="shared" si="64"/>
        <v>36</v>
      </c>
      <c r="Q68" s="23">
        <f t="shared" si="69"/>
        <v>36</v>
      </c>
      <c r="R68" s="23">
        <f t="shared" si="75"/>
        <v>36</v>
      </c>
      <c r="S68" s="23">
        <f t="shared" si="86"/>
        <v>36</v>
      </c>
      <c r="T68" s="23">
        <f t="shared" ref="T68:T99" si="93">S68+0</f>
        <v>36</v>
      </c>
      <c r="U68" s="23">
        <f t="shared" si="65"/>
        <v>36</v>
      </c>
      <c r="V68" s="23">
        <f t="shared" si="87"/>
        <v>36</v>
      </c>
      <c r="W68" s="23">
        <f t="shared" si="82"/>
        <v>36</v>
      </c>
      <c r="X68" s="23">
        <f t="shared" si="66"/>
        <v>36</v>
      </c>
      <c r="Y68" s="23">
        <f t="shared" ref="Y68:Y99" si="94">X68+0</f>
        <v>36</v>
      </c>
      <c r="Z68" s="23">
        <f t="shared" si="88"/>
        <v>36</v>
      </c>
      <c r="AA68" s="23">
        <f t="shared" si="79"/>
        <v>36</v>
      </c>
      <c r="AB68" s="23">
        <f t="shared" si="62"/>
        <v>36</v>
      </c>
      <c r="AC68" s="23">
        <f t="shared" si="89"/>
        <v>36</v>
      </c>
      <c r="AD68" s="23">
        <f t="shared" ref="AD68:AD99" si="95">AC68+0</f>
        <v>36</v>
      </c>
      <c r="AE68" s="23">
        <f t="shared" si="90"/>
        <v>36</v>
      </c>
      <c r="AF68" s="23">
        <f t="shared" si="83"/>
        <v>36</v>
      </c>
      <c r="AG68" s="23">
        <f t="shared" si="91"/>
        <v>36</v>
      </c>
      <c r="AH68" s="23">
        <f t="shared" si="91"/>
        <v>36</v>
      </c>
      <c r="AI68" s="23">
        <f t="shared" si="73"/>
        <v>36</v>
      </c>
      <c r="AJ68" s="23">
        <f t="shared" si="73"/>
        <v>36</v>
      </c>
      <c r="AK68" s="23">
        <f t="shared" ref="AK68:AK99" si="96">AJ68+0</f>
        <v>36</v>
      </c>
      <c r="AL68" s="81">
        <v>180</v>
      </c>
      <c r="AM68" s="4">
        <v>1</v>
      </c>
      <c r="AN68" s="15" t="s">
        <v>170</v>
      </c>
      <c r="AO68" s="15" t="s">
        <v>166</v>
      </c>
      <c r="AP68" s="15">
        <v>1966</v>
      </c>
      <c r="AQ68" s="15" t="s">
        <v>208</v>
      </c>
      <c r="AR68" s="15" t="s">
        <v>300</v>
      </c>
    </row>
    <row r="69" spans="1:44" x14ac:dyDescent="0.3">
      <c r="A69" s="1">
        <v>11</v>
      </c>
      <c r="B69" s="23">
        <v>0</v>
      </c>
      <c r="C69" s="23">
        <f t="shared" si="84"/>
        <v>0</v>
      </c>
      <c r="D69" s="23">
        <f t="shared" si="92"/>
        <v>0</v>
      </c>
      <c r="E69" s="23">
        <f t="shared" si="77"/>
        <v>0</v>
      </c>
      <c r="F69" s="23">
        <f t="shared" si="72"/>
        <v>0</v>
      </c>
      <c r="G69" s="23">
        <f t="shared" si="80"/>
        <v>0</v>
      </c>
      <c r="H69" s="23">
        <f>G69+2</f>
        <v>2</v>
      </c>
      <c r="I69" s="23">
        <f t="shared" si="78"/>
        <v>2</v>
      </c>
      <c r="J69" s="23">
        <f t="shared" si="81"/>
        <v>2</v>
      </c>
      <c r="K69" s="23">
        <f t="shared" si="68"/>
        <v>2</v>
      </c>
      <c r="L69" s="23">
        <f t="shared" si="85"/>
        <v>2</v>
      </c>
      <c r="M69" s="23">
        <f t="shared" si="74"/>
        <v>2</v>
      </c>
      <c r="N69" s="23">
        <f t="shared" si="61"/>
        <v>2</v>
      </c>
      <c r="O69" s="23">
        <f>N69+34</f>
        <v>36</v>
      </c>
      <c r="P69" s="23">
        <f t="shared" si="64"/>
        <v>36</v>
      </c>
      <c r="Q69" s="23">
        <f t="shared" si="69"/>
        <v>36</v>
      </c>
      <c r="R69" s="23">
        <f t="shared" si="75"/>
        <v>36</v>
      </c>
      <c r="S69" s="23">
        <f t="shared" si="86"/>
        <v>36</v>
      </c>
      <c r="T69" s="23">
        <f t="shared" si="93"/>
        <v>36</v>
      </c>
      <c r="U69" s="23">
        <f t="shared" si="65"/>
        <v>36</v>
      </c>
      <c r="V69" s="23">
        <f t="shared" si="87"/>
        <v>36</v>
      </c>
      <c r="W69" s="23">
        <f t="shared" si="82"/>
        <v>36</v>
      </c>
      <c r="X69" s="23">
        <f t="shared" si="66"/>
        <v>36</v>
      </c>
      <c r="Y69" s="23">
        <f t="shared" si="94"/>
        <v>36</v>
      </c>
      <c r="Z69" s="23">
        <f t="shared" si="88"/>
        <v>36</v>
      </c>
      <c r="AA69" s="23">
        <f t="shared" si="79"/>
        <v>36</v>
      </c>
      <c r="AB69" s="23">
        <f t="shared" si="62"/>
        <v>36</v>
      </c>
      <c r="AC69" s="23">
        <f t="shared" si="89"/>
        <v>36</v>
      </c>
      <c r="AD69" s="23">
        <f t="shared" si="95"/>
        <v>36</v>
      </c>
      <c r="AE69" s="23">
        <f t="shared" si="90"/>
        <v>36</v>
      </c>
      <c r="AF69" s="23">
        <f t="shared" si="83"/>
        <v>36</v>
      </c>
      <c r="AG69" s="23">
        <f t="shared" si="91"/>
        <v>36</v>
      </c>
      <c r="AH69" s="23">
        <f t="shared" si="91"/>
        <v>36</v>
      </c>
      <c r="AI69" s="23">
        <f t="shared" si="73"/>
        <v>36</v>
      </c>
      <c r="AJ69" s="23">
        <f t="shared" si="73"/>
        <v>36</v>
      </c>
      <c r="AK69" s="23">
        <f t="shared" si="96"/>
        <v>36</v>
      </c>
      <c r="AL69" s="81">
        <v>180</v>
      </c>
      <c r="AM69" s="4">
        <v>1</v>
      </c>
      <c r="AN69" s="15" t="s">
        <v>169</v>
      </c>
      <c r="AO69" s="15" t="s">
        <v>166</v>
      </c>
      <c r="AP69" s="15">
        <v>1966</v>
      </c>
      <c r="AQ69" s="15" t="s">
        <v>208</v>
      </c>
      <c r="AR69" s="15" t="s">
        <v>300</v>
      </c>
    </row>
    <row r="70" spans="1:44" x14ac:dyDescent="0.3">
      <c r="A70" s="1">
        <v>9</v>
      </c>
      <c r="B70" s="23">
        <v>0</v>
      </c>
      <c r="C70" s="23">
        <f t="shared" si="84"/>
        <v>0</v>
      </c>
      <c r="D70" s="23">
        <f t="shared" si="92"/>
        <v>0</v>
      </c>
      <c r="E70" s="23">
        <f t="shared" si="77"/>
        <v>0</v>
      </c>
      <c r="F70" s="23">
        <f t="shared" si="72"/>
        <v>0</v>
      </c>
      <c r="G70" s="23">
        <f t="shared" si="80"/>
        <v>0</v>
      </c>
      <c r="H70" s="23">
        <f>G70+2</f>
        <v>2</v>
      </c>
      <c r="I70" s="23">
        <f t="shared" si="78"/>
        <v>2</v>
      </c>
      <c r="J70" s="23">
        <f t="shared" si="81"/>
        <v>2</v>
      </c>
      <c r="K70" s="23">
        <f t="shared" si="68"/>
        <v>2</v>
      </c>
      <c r="L70" s="23">
        <f t="shared" si="85"/>
        <v>2</v>
      </c>
      <c r="M70" s="23">
        <f t="shared" si="74"/>
        <v>2</v>
      </c>
      <c r="N70" s="23">
        <f t="shared" si="61"/>
        <v>2</v>
      </c>
      <c r="O70" s="23">
        <f>N70+34</f>
        <v>36</v>
      </c>
      <c r="P70" s="23">
        <f t="shared" si="64"/>
        <v>36</v>
      </c>
      <c r="Q70" s="23">
        <f t="shared" si="69"/>
        <v>36</v>
      </c>
      <c r="R70" s="23">
        <f t="shared" si="75"/>
        <v>36</v>
      </c>
      <c r="S70" s="23">
        <f t="shared" si="86"/>
        <v>36</v>
      </c>
      <c r="T70" s="23">
        <f t="shared" si="93"/>
        <v>36</v>
      </c>
      <c r="U70" s="23">
        <f t="shared" si="65"/>
        <v>36</v>
      </c>
      <c r="V70" s="23">
        <f t="shared" si="87"/>
        <v>36</v>
      </c>
      <c r="W70" s="23">
        <f t="shared" si="82"/>
        <v>36</v>
      </c>
      <c r="X70" s="23">
        <f t="shared" si="66"/>
        <v>36</v>
      </c>
      <c r="Y70" s="23">
        <f t="shared" si="94"/>
        <v>36</v>
      </c>
      <c r="Z70" s="23">
        <f t="shared" si="88"/>
        <v>36</v>
      </c>
      <c r="AA70" s="23">
        <f t="shared" si="79"/>
        <v>36</v>
      </c>
      <c r="AB70" s="23">
        <f t="shared" si="62"/>
        <v>36</v>
      </c>
      <c r="AC70" s="23">
        <f t="shared" si="89"/>
        <v>36</v>
      </c>
      <c r="AD70" s="23">
        <f t="shared" si="95"/>
        <v>36</v>
      </c>
      <c r="AE70" s="23">
        <f t="shared" si="90"/>
        <v>36</v>
      </c>
      <c r="AF70" s="23">
        <f t="shared" si="83"/>
        <v>36</v>
      </c>
      <c r="AG70" s="23">
        <f t="shared" si="91"/>
        <v>36</v>
      </c>
      <c r="AH70" s="23">
        <f t="shared" si="91"/>
        <v>36</v>
      </c>
      <c r="AI70" s="23">
        <f t="shared" si="73"/>
        <v>36</v>
      </c>
      <c r="AJ70" s="23">
        <f t="shared" si="73"/>
        <v>36</v>
      </c>
      <c r="AK70" s="23">
        <f t="shared" si="96"/>
        <v>36</v>
      </c>
      <c r="AL70" s="81">
        <v>180</v>
      </c>
      <c r="AM70" s="4">
        <v>1</v>
      </c>
      <c r="AN70" s="15" t="s">
        <v>168</v>
      </c>
      <c r="AO70" s="15" t="s">
        <v>166</v>
      </c>
      <c r="AP70" s="15">
        <v>1966</v>
      </c>
      <c r="AQ70" s="15" t="s">
        <v>208</v>
      </c>
      <c r="AR70" s="15" t="s">
        <v>300</v>
      </c>
    </row>
    <row r="71" spans="1:44" x14ac:dyDescent="0.3">
      <c r="A71" s="1">
        <v>9</v>
      </c>
      <c r="B71" s="23">
        <v>0</v>
      </c>
      <c r="C71" s="23">
        <f t="shared" si="84"/>
        <v>0</v>
      </c>
      <c r="D71" s="23">
        <f t="shared" si="92"/>
        <v>0</v>
      </c>
      <c r="E71" s="23">
        <f t="shared" si="77"/>
        <v>0</v>
      </c>
      <c r="F71" s="23">
        <f t="shared" si="72"/>
        <v>0</v>
      </c>
      <c r="G71" s="23">
        <f t="shared" si="80"/>
        <v>0</v>
      </c>
      <c r="H71" s="23">
        <f>G71+2</f>
        <v>2</v>
      </c>
      <c r="I71" s="23">
        <f t="shared" si="78"/>
        <v>2</v>
      </c>
      <c r="J71" s="23">
        <f t="shared" si="81"/>
        <v>2</v>
      </c>
      <c r="K71" s="23">
        <f t="shared" si="68"/>
        <v>2</v>
      </c>
      <c r="L71" s="23">
        <f t="shared" si="85"/>
        <v>2</v>
      </c>
      <c r="M71" s="23">
        <f t="shared" si="74"/>
        <v>2</v>
      </c>
      <c r="N71" s="23">
        <f t="shared" si="61"/>
        <v>2</v>
      </c>
      <c r="O71" s="23">
        <f>N71+34</f>
        <v>36</v>
      </c>
      <c r="P71" s="23">
        <f t="shared" si="64"/>
        <v>36</v>
      </c>
      <c r="Q71" s="23">
        <f t="shared" si="69"/>
        <v>36</v>
      </c>
      <c r="R71" s="23">
        <f t="shared" si="75"/>
        <v>36</v>
      </c>
      <c r="S71" s="23">
        <f t="shared" si="86"/>
        <v>36</v>
      </c>
      <c r="T71" s="23">
        <f t="shared" si="93"/>
        <v>36</v>
      </c>
      <c r="U71" s="23">
        <f t="shared" si="65"/>
        <v>36</v>
      </c>
      <c r="V71" s="23">
        <f t="shared" si="87"/>
        <v>36</v>
      </c>
      <c r="W71" s="23">
        <f t="shared" si="82"/>
        <v>36</v>
      </c>
      <c r="X71" s="23">
        <f t="shared" si="66"/>
        <v>36</v>
      </c>
      <c r="Y71" s="23">
        <f t="shared" si="94"/>
        <v>36</v>
      </c>
      <c r="Z71" s="23">
        <f t="shared" si="88"/>
        <v>36</v>
      </c>
      <c r="AA71" s="23">
        <f t="shared" si="79"/>
        <v>36</v>
      </c>
      <c r="AB71" s="23">
        <f t="shared" si="62"/>
        <v>36</v>
      </c>
      <c r="AC71" s="23">
        <f t="shared" si="89"/>
        <v>36</v>
      </c>
      <c r="AD71" s="23">
        <f t="shared" si="95"/>
        <v>36</v>
      </c>
      <c r="AE71" s="23">
        <f t="shared" si="90"/>
        <v>36</v>
      </c>
      <c r="AF71" s="23">
        <f t="shared" si="83"/>
        <v>36</v>
      </c>
      <c r="AG71" s="23">
        <f t="shared" si="91"/>
        <v>36</v>
      </c>
      <c r="AH71" s="23">
        <f t="shared" si="91"/>
        <v>36</v>
      </c>
      <c r="AI71" s="23">
        <f t="shared" si="73"/>
        <v>36</v>
      </c>
      <c r="AJ71" s="23">
        <f t="shared" si="73"/>
        <v>36</v>
      </c>
      <c r="AK71" s="23">
        <f t="shared" si="96"/>
        <v>36</v>
      </c>
      <c r="AL71" s="81">
        <v>180</v>
      </c>
      <c r="AM71" s="4">
        <v>1</v>
      </c>
      <c r="AN71" s="15" t="s">
        <v>167</v>
      </c>
      <c r="AO71" s="15" t="s">
        <v>166</v>
      </c>
      <c r="AP71" s="15">
        <v>1966</v>
      </c>
      <c r="AQ71" s="15" t="s">
        <v>208</v>
      </c>
      <c r="AR71" s="15" t="s">
        <v>300</v>
      </c>
    </row>
    <row r="72" spans="1:44" x14ac:dyDescent="0.3">
      <c r="A72" s="1">
        <v>2.4642857142857144</v>
      </c>
      <c r="B72" s="23">
        <v>0</v>
      </c>
      <c r="C72" s="23">
        <f t="shared" si="84"/>
        <v>0</v>
      </c>
      <c r="D72" s="23">
        <f t="shared" si="92"/>
        <v>0</v>
      </c>
      <c r="E72" s="23">
        <f t="shared" si="77"/>
        <v>0</v>
      </c>
      <c r="F72" s="23">
        <f t="shared" si="72"/>
        <v>0</v>
      </c>
      <c r="G72" s="23">
        <f t="shared" si="80"/>
        <v>0</v>
      </c>
      <c r="H72" s="23">
        <f>G72+12</f>
        <v>12</v>
      </c>
      <c r="I72" s="23">
        <f t="shared" si="78"/>
        <v>12</v>
      </c>
      <c r="J72" s="23">
        <f t="shared" si="81"/>
        <v>12</v>
      </c>
      <c r="K72" s="23">
        <f t="shared" si="68"/>
        <v>12</v>
      </c>
      <c r="L72" s="23">
        <f t="shared" si="85"/>
        <v>12</v>
      </c>
      <c r="M72" s="23">
        <f t="shared" si="74"/>
        <v>12</v>
      </c>
      <c r="N72" s="23">
        <f t="shared" ref="N72:N103" si="97">M72+0</f>
        <v>12</v>
      </c>
      <c r="O72" s="23">
        <f>N72+13</f>
        <v>25</v>
      </c>
      <c r="P72" s="23">
        <f t="shared" si="64"/>
        <v>25</v>
      </c>
      <c r="Q72" s="23">
        <f t="shared" si="69"/>
        <v>25</v>
      </c>
      <c r="R72" s="23">
        <f t="shared" si="75"/>
        <v>25</v>
      </c>
      <c r="S72" s="23">
        <f t="shared" si="86"/>
        <v>25</v>
      </c>
      <c r="T72" s="23">
        <f t="shared" si="93"/>
        <v>25</v>
      </c>
      <c r="U72" s="23">
        <f t="shared" si="65"/>
        <v>25</v>
      </c>
      <c r="V72" s="23">
        <f t="shared" si="87"/>
        <v>25</v>
      </c>
      <c r="W72" s="23">
        <f t="shared" si="82"/>
        <v>25</v>
      </c>
      <c r="X72" s="23">
        <f t="shared" si="66"/>
        <v>25</v>
      </c>
      <c r="Y72" s="23">
        <f t="shared" si="94"/>
        <v>25</v>
      </c>
      <c r="Z72" s="23">
        <f t="shared" si="88"/>
        <v>25</v>
      </c>
      <c r="AA72" s="23">
        <f t="shared" si="79"/>
        <v>25</v>
      </c>
      <c r="AB72" s="23">
        <f t="shared" ref="AB72:AB103" si="98">AA72+0</f>
        <v>25</v>
      </c>
      <c r="AC72" s="23">
        <f t="shared" si="89"/>
        <v>25</v>
      </c>
      <c r="AD72" s="23">
        <f t="shared" si="95"/>
        <v>25</v>
      </c>
      <c r="AE72" s="23">
        <f t="shared" si="90"/>
        <v>25</v>
      </c>
      <c r="AF72" s="23">
        <f t="shared" si="83"/>
        <v>25</v>
      </c>
      <c r="AG72" s="23">
        <f t="shared" si="91"/>
        <v>25</v>
      </c>
      <c r="AH72" s="23">
        <f t="shared" si="91"/>
        <v>25</v>
      </c>
      <c r="AI72" s="23">
        <f t="shared" si="73"/>
        <v>25</v>
      </c>
      <c r="AJ72" s="23">
        <f t="shared" si="73"/>
        <v>25</v>
      </c>
      <c r="AK72" s="23">
        <f t="shared" si="96"/>
        <v>25</v>
      </c>
      <c r="AL72" s="81">
        <v>480</v>
      </c>
      <c r="AM72" s="4">
        <v>1</v>
      </c>
      <c r="AN72" s="15" t="s">
        <v>296</v>
      </c>
      <c r="AO72" s="15" t="s">
        <v>166</v>
      </c>
      <c r="AP72" s="15">
        <v>1966</v>
      </c>
      <c r="AQ72" s="15" t="s">
        <v>208</v>
      </c>
    </row>
    <row r="73" spans="1:44" x14ac:dyDescent="0.3">
      <c r="A73" s="1">
        <v>3.2857142857142856</v>
      </c>
      <c r="B73" s="23">
        <v>0</v>
      </c>
      <c r="C73" s="23">
        <f t="shared" si="84"/>
        <v>0</v>
      </c>
      <c r="D73" s="23">
        <f t="shared" si="92"/>
        <v>0</v>
      </c>
      <c r="E73" s="23">
        <f t="shared" si="77"/>
        <v>0</v>
      </c>
      <c r="F73" s="23">
        <f t="shared" si="72"/>
        <v>0</v>
      </c>
      <c r="G73" s="23">
        <f t="shared" si="80"/>
        <v>0</v>
      </c>
      <c r="H73" s="23">
        <f>G73+12</f>
        <v>12</v>
      </c>
      <c r="I73" s="23">
        <f t="shared" si="78"/>
        <v>12</v>
      </c>
      <c r="J73" s="23">
        <f t="shared" si="81"/>
        <v>12</v>
      </c>
      <c r="K73" s="23">
        <f t="shared" si="68"/>
        <v>12</v>
      </c>
      <c r="L73" s="23">
        <f t="shared" si="85"/>
        <v>12</v>
      </c>
      <c r="M73" s="23">
        <f t="shared" si="74"/>
        <v>12</v>
      </c>
      <c r="N73" s="23">
        <f t="shared" si="97"/>
        <v>12</v>
      </c>
      <c r="O73" s="23">
        <f>N73+13</f>
        <v>25</v>
      </c>
      <c r="P73" s="23">
        <f t="shared" ref="P73:P104" si="99">O73+0</f>
        <v>25</v>
      </c>
      <c r="Q73" s="23">
        <f t="shared" si="69"/>
        <v>25</v>
      </c>
      <c r="R73" s="23">
        <f t="shared" si="75"/>
        <v>25</v>
      </c>
      <c r="S73" s="23">
        <f t="shared" si="86"/>
        <v>25</v>
      </c>
      <c r="T73" s="23">
        <f t="shared" si="93"/>
        <v>25</v>
      </c>
      <c r="U73" s="23">
        <f t="shared" ref="U73:U104" si="100">T73+0</f>
        <v>25</v>
      </c>
      <c r="V73" s="23">
        <f t="shared" si="87"/>
        <v>25</v>
      </c>
      <c r="W73" s="23">
        <f t="shared" si="82"/>
        <v>25</v>
      </c>
      <c r="X73" s="23">
        <f t="shared" ref="X73:X104" si="101">W73+0</f>
        <v>25</v>
      </c>
      <c r="Y73" s="23">
        <f t="shared" si="94"/>
        <v>25</v>
      </c>
      <c r="Z73" s="23">
        <f t="shared" si="88"/>
        <v>25</v>
      </c>
      <c r="AA73" s="23">
        <f t="shared" si="79"/>
        <v>25</v>
      </c>
      <c r="AB73" s="23">
        <f t="shared" si="98"/>
        <v>25</v>
      </c>
      <c r="AC73" s="23">
        <f t="shared" si="89"/>
        <v>25</v>
      </c>
      <c r="AD73" s="23">
        <f t="shared" si="95"/>
        <v>25</v>
      </c>
      <c r="AE73" s="23">
        <f t="shared" si="90"/>
        <v>25</v>
      </c>
      <c r="AF73" s="23">
        <f t="shared" si="83"/>
        <v>25</v>
      </c>
      <c r="AG73" s="23">
        <f t="shared" si="91"/>
        <v>25</v>
      </c>
      <c r="AH73" s="23">
        <f t="shared" si="91"/>
        <v>25</v>
      </c>
      <c r="AI73" s="23">
        <f t="shared" si="73"/>
        <v>25</v>
      </c>
      <c r="AJ73" s="23">
        <f t="shared" si="73"/>
        <v>25</v>
      </c>
      <c r="AK73" s="23">
        <f t="shared" si="96"/>
        <v>25</v>
      </c>
      <c r="AL73" s="81">
        <v>480</v>
      </c>
      <c r="AM73" s="4">
        <v>1</v>
      </c>
      <c r="AN73" s="15" t="s">
        <v>295</v>
      </c>
      <c r="AO73" s="15" t="s">
        <v>166</v>
      </c>
      <c r="AP73" s="15">
        <v>1966</v>
      </c>
      <c r="AQ73" s="15" t="s">
        <v>208</v>
      </c>
    </row>
    <row r="74" spans="1:44" x14ac:dyDescent="0.3">
      <c r="A74" s="1">
        <v>3.2857142857142856</v>
      </c>
      <c r="B74" s="23">
        <v>0</v>
      </c>
      <c r="C74" s="23">
        <f t="shared" si="84"/>
        <v>0</v>
      </c>
      <c r="D74" s="23">
        <f t="shared" si="92"/>
        <v>0</v>
      </c>
      <c r="E74" s="23">
        <f t="shared" si="77"/>
        <v>0</v>
      </c>
      <c r="F74" s="23">
        <f t="shared" si="72"/>
        <v>0</v>
      </c>
      <c r="G74" s="23">
        <f t="shared" si="80"/>
        <v>0</v>
      </c>
      <c r="H74" s="23">
        <f>G74+12</f>
        <v>12</v>
      </c>
      <c r="I74" s="23">
        <f t="shared" si="78"/>
        <v>12</v>
      </c>
      <c r="J74" s="23">
        <f t="shared" si="81"/>
        <v>12</v>
      </c>
      <c r="K74" s="23">
        <f t="shared" ref="K74:K105" si="102">J74+0</f>
        <v>12</v>
      </c>
      <c r="L74" s="23">
        <f t="shared" si="85"/>
        <v>12</v>
      </c>
      <c r="M74" s="23">
        <f t="shared" si="74"/>
        <v>12</v>
      </c>
      <c r="N74" s="23">
        <f t="shared" si="97"/>
        <v>12</v>
      </c>
      <c r="O74" s="23">
        <f>N74+13</f>
        <v>25</v>
      </c>
      <c r="P74" s="23">
        <f t="shared" si="99"/>
        <v>25</v>
      </c>
      <c r="Q74" s="23">
        <f t="shared" si="69"/>
        <v>25</v>
      </c>
      <c r="R74" s="23">
        <f t="shared" si="75"/>
        <v>25</v>
      </c>
      <c r="S74" s="23">
        <f t="shared" si="86"/>
        <v>25</v>
      </c>
      <c r="T74" s="23">
        <f t="shared" si="93"/>
        <v>25</v>
      </c>
      <c r="U74" s="23">
        <f t="shared" si="100"/>
        <v>25</v>
      </c>
      <c r="V74" s="23">
        <f t="shared" si="87"/>
        <v>25</v>
      </c>
      <c r="W74" s="23">
        <f t="shared" si="82"/>
        <v>25</v>
      </c>
      <c r="X74" s="23">
        <f t="shared" si="101"/>
        <v>25</v>
      </c>
      <c r="Y74" s="23">
        <f t="shared" si="94"/>
        <v>25</v>
      </c>
      <c r="Z74" s="23">
        <f t="shared" si="88"/>
        <v>25</v>
      </c>
      <c r="AA74" s="23">
        <f t="shared" si="79"/>
        <v>25</v>
      </c>
      <c r="AB74" s="23">
        <f t="shared" si="98"/>
        <v>25</v>
      </c>
      <c r="AC74" s="23">
        <f t="shared" si="89"/>
        <v>25</v>
      </c>
      <c r="AD74" s="23">
        <f t="shared" si="95"/>
        <v>25</v>
      </c>
      <c r="AE74" s="23">
        <f t="shared" si="90"/>
        <v>25</v>
      </c>
      <c r="AF74" s="23">
        <f t="shared" si="83"/>
        <v>25</v>
      </c>
      <c r="AG74" s="23">
        <f t="shared" si="91"/>
        <v>25</v>
      </c>
      <c r="AH74" s="23">
        <f t="shared" si="91"/>
        <v>25</v>
      </c>
      <c r="AI74" s="23">
        <f t="shared" si="73"/>
        <v>25</v>
      </c>
      <c r="AJ74" s="23">
        <f t="shared" si="73"/>
        <v>25</v>
      </c>
      <c r="AK74" s="23">
        <f t="shared" si="96"/>
        <v>25</v>
      </c>
      <c r="AL74" s="81">
        <v>480</v>
      </c>
      <c r="AM74" s="4">
        <v>1</v>
      </c>
      <c r="AN74" s="15" t="s">
        <v>297</v>
      </c>
      <c r="AO74" s="15" t="s">
        <v>166</v>
      </c>
      <c r="AP74" s="15">
        <v>1966</v>
      </c>
      <c r="AQ74" s="15" t="s">
        <v>208</v>
      </c>
    </row>
    <row r="75" spans="1:44" x14ac:dyDescent="0.3">
      <c r="A75" s="1">
        <v>7.3928571428571432</v>
      </c>
      <c r="B75" s="23">
        <v>0</v>
      </c>
      <c r="C75" s="23">
        <f t="shared" si="84"/>
        <v>0</v>
      </c>
      <c r="D75" s="23">
        <f t="shared" si="92"/>
        <v>0</v>
      </c>
      <c r="E75" s="23">
        <f t="shared" si="77"/>
        <v>0</v>
      </c>
      <c r="F75" s="23">
        <f t="shared" si="72"/>
        <v>0</v>
      </c>
      <c r="G75" s="23">
        <f t="shared" si="80"/>
        <v>0</v>
      </c>
      <c r="H75" s="23">
        <f>G75+12</f>
        <v>12</v>
      </c>
      <c r="I75" s="23">
        <f t="shared" si="78"/>
        <v>12</v>
      </c>
      <c r="J75" s="23">
        <f t="shared" si="81"/>
        <v>12</v>
      </c>
      <c r="K75" s="23">
        <f t="shared" si="102"/>
        <v>12</v>
      </c>
      <c r="L75" s="23">
        <f t="shared" si="85"/>
        <v>12</v>
      </c>
      <c r="M75" s="23">
        <f t="shared" si="74"/>
        <v>12</v>
      </c>
      <c r="N75" s="23">
        <f t="shared" si="97"/>
        <v>12</v>
      </c>
      <c r="O75" s="23">
        <f>N75+13</f>
        <v>25</v>
      </c>
      <c r="P75" s="23">
        <f t="shared" si="99"/>
        <v>25</v>
      </c>
      <c r="Q75" s="23">
        <f t="shared" si="69"/>
        <v>25</v>
      </c>
      <c r="R75" s="23">
        <f t="shared" si="75"/>
        <v>25</v>
      </c>
      <c r="S75" s="23">
        <f t="shared" si="86"/>
        <v>25</v>
      </c>
      <c r="T75" s="23">
        <f t="shared" si="93"/>
        <v>25</v>
      </c>
      <c r="U75" s="23">
        <f t="shared" si="100"/>
        <v>25</v>
      </c>
      <c r="V75" s="23">
        <f t="shared" si="87"/>
        <v>25</v>
      </c>
      <c r="W75" s="23">
        <f t="shared" si="82"/>
        <v>25</v>
      </c>
      <c r="X75" s="23">
        <f t="shared" si="101"/>
        <v>25</v>
      </c>
      <c r="Y75" s="23">
        <f t="shared" si="94"/>
        <v>25</v>
      </c>
      <c r="Z75" s="23">
        <f t="shared" si="88"/>
        <v>25</v>
      </c>
      <c r="AA75" s="23">
        <f t="shared" si="79"/>
        <v>25</v>
      </c>
      <c r="AB75" s="23">
        <f t="shared" si="98"/>
        <v>25</v>
      </c>
      <c r="AC75" s="23">
        <f t="shared" si="89"/>
        <v>25</v>
      </c>
      <c r="AD75" s="23">
        <f t="shared" si="95"/>
        <v>25</v>
      </c>
      <c r="AE75" s="23">
        <f t="shared" si="90"/>
        <v>25</v>
      </c>
      <c r="AF75" s="23">
        <f t="shared" si="83"/>
        <v>25</v>
      </c>
      <c r="AG75" s="23">
        <f t="shared" si="91"/>
        <v>25</v>
      </c>
      <c r="AH75" s="23">
        <f t="shared" si="91"/>
        <v>25</v>
      </c>
      <c r="AI75" s="23">
        <f t="shared" ref="AI75:AJ94" si="103">AH75+0</f>
        <v>25</v>
      </c>
      <c r="AJ75" s="23">
        <f t="shared" si="103"/>
        <v>25</v>
      </c>
      <c r="AK75" s="23">
        <f t="shared" si="96"/>
        <v>25</v>
      </c>
      <c r="AL75" s="81">
        <v>480</v>
      </c>
      <c r="AM75" s="4">
        <v>1</v>
      </c>
      <c r="AN75" s="15" t="s">
        <v>298</v>
      </c>
      <c r="AO75" s="15" t="s">
        <v>166</v>
      </c>
      <c r="AP75" s="15">
        <v>1966</v>
      </c>
      <c r="AQ75" s="15" t="s">
        <v>208</v>
      </c>
    </row>
    <row r="76" spans="1:44" x14ac:dyDescent="0.3">
      <c r="A76" s="1">
        <v>6.5714285714285712</v>
      </c>
      <c r="B76" s="23">
        <v>0</v>
      </c>
      <c r="C76" s="23">
        <f t="shared" si="84"/>
        <v>0</v>
      </c>
      <c r="D76" s="23">
        <f t="shared" si="92"/>
        <v>0</v>
      </c>
      <c r="E76" s="23">
        <f t="shared" si="77"/>
        <v>0</v>
      </c>
      <c r="F76" s="23">
        <f t="shared" si="72"/>
        <v>0</v>
      </c>
      <c r="G76" s="23">
        <f t="shared" si="80"/>
        <v>0</v>
      </c>
      <c r="H76" s="23">
        <f>G76+12</f>
        <v>12</v>
      </c>
      <c r="I76" s="23">
        <f t="shared" si="78"/>
        <v>12</v>
      </c>
      <c r="J76" s="23">
        <f t="shared" si="81"/>
        <v>12</v>
      </c>
      <c r="K76" s="23">
        <f t="shared" si="102"/>
        <v>12</v>
      </c>
      <c r="L76" s="23">
        <f t="shared" si="85"/>
        <v>12</v>
      </c>
      <c r="M76" s="23">
        <f t="shared" si="74"/>
        <v>12</v>
      </c>
      <c r="N76" s="23">
        <f t="shared" si="97"/>
        <v>12</v>
      </c>
      <c r="O76" s="23">
        <f>N76+13</f>
        <v>25</v>
      </c>
      <c r="P76" s="23">
        <f t="shared" si="99"/>
        <v>25</v>
      </c>
      <c r="Q76" s="23">
        <f t="shared" si="69"/>
        <v>25</v>
      </c>
      <c r="R76" s="23">
        <f t="shared" si="75"/>
        <v>25</v>
      </c>
      <c r="S76" s="23">
        <f t="shared" si="86"/>
        <v>25</v>
      </c>
      <c r="T76" s="23">
        <f t="shared" si="93"/>
        <v>25</v>
      </c>
      <c r="U76" s="23">
        <f t="shared" si="100"/>
        <v>25</v>
      </c>
      <c r="V76" s="23">
        <f t="shared" si="87"/>
        <v>25</v>
      </c>
      <c r="W76" s="23">
        <f t="shared" si="82"/>
        <v>25</v>
      </c>
      <c r="X76" s="23">
        <f t="shared" si="101"/>
        <v>25</v>
      </c>
      <c r="Y76" s="23">
        <f t="shared" si="94"/>
        <v>25</v>
      </c>
      <c r="Z76" s="23">
        <f t="shared" si="88"/>
        <v>25</v>
      </c>
      <c r="AA76" s="23">
        <f t="shared" si="79"/>
        <v>25</v>
      </c>
      <c r="AB76" s="23">
        <f t="shared" si="98"/>
        <v>25</v>
      </c>
      <c r="AC76" s="23">
        <f t="shared" si="89"/>
        <v>25</v>
      </c>
      <c r="AD76" s="23">
        <f t="shared" si="95"/>
        <v>25</v>
      </c>
      <c r="AE76" s="23">
        <f t="shared" si="90"/>
        <v>25</v>
      </c>
      <c r="AF76" s="23">
        <f t="shared" si="83"/>
        <v>25</v>
      </c>
      <c r="AG76" s="23">
        <f t="shared" si="91"/>
        <v>25</v>
      </c>
      <c r="AH76" s="23">
        <f t="shared" si="91"/>
        <v>25</v>
      </c>
      <c r="AI76" s="23">
        <f t="shared" si="103"/>
        <v>25</v>
      </c>
      <c r="AJ76" s="23">
        <f t="shared" si="103"/>
        <v>25</v>
      </c>
      <c r="AK76" s="23">
        <f t="shared" si="96"/>
        <v>25</v>
      </c>
      <c r="AL76" s="81">
        <v>480</v>
      </c>
      <c r="AM76" s="4">
        <v>1</v>
      </c>
      <c r="AN76" s="15" t="s">
        <v>299</v>
      </c>
      <c r="AO76" s="15" t="s">
        <v>166</v>
      </c>
      <c r="AP76" s="15">
        <v>1966</v>
      </c>
      <c r="AQ76" s="15" t="s">
        <v>208</v>
      </c>
    </row>
    <row r="77" spans="1:44" x14ac:dyDescent="0.3">
      <c r="A77" s="1">
        <v>1</v>
      </c>
      <c r="B77" s="23">
        <v>0</v>
      </c>
      <c r="C77" s="23">
        <f t="shared" si="84"/>
        <v>0</v>
      </c>
      <c r="D77" s="23">
        <f>C77+5</f>
        <v>5</v>
      </c>
      <c r="E77" s="23">
        <f t="shared" si="77"/>
        <v>5</v>
      </c>
      <c r="F77" s="23">
        <f t="shared" si="72"/>
        <v>5</v>
      </c>
      <c r="G77" s="23">
        <f t="shared" si="80"/>
        <v>5</v>
      </c>
      <c r="H77" s="23">
        <f>G77+10</f>
        <v>15</v>
      </c>
      <c r="I77" s="23">
        <f t="shared" si="78"/>
        <v>15</v>
      </c>
      <c r="J77" s="23">
        <f t="shared" si="81"/>
        <v>15</v>
      </c>
      <c r="K77" s="23">
        <f t="shared" si="102"/>
        <v>15</v>
      </c>
      <c r="L77" s="23">
        <f t="shared" si="85"/>
        <v>15</v>
      </c>
      <c r="M77" s="23">
        <f t="shared" si="74"/>
        <v>15</v>
      </c>
      <c r="N77" s="23">
        <f t="shared" si="97"/>
        <v>15</v>
      </c>
      <c r="O77" s="23">
        <f t="shared" ref="O77:O103" si="104">N77+0</f>
        <v>15</v>
      </c>
      <c r="P77" s="23">
        <f t="shared" si="99"/>
        <v>15</v>
      </c>
      <c r="Q77" s="23">
        <f t="shared" ref="Q77:Q108" si="105">P77+0</f>
        <v>15</v>
      </c>
      <c r="R77" s="23">
        <f t="shared" si="75"/>
        <v>15</v>
      </c>
      <c r="S77" s="23">
        <f t="shared" si="86"/>
        <v>15</v>
      </c>
      <c r="T77" s="23">
        <f t="shared" si="93"/>
        <v>15</v>
      </c>
      <c r="U77" s="23">
        <f t="shared" si="100"/>
        <v>15</v>
      </c>
      <c r="V77" s="23">
        <f t="shared" si="87"/>
        <v>15</v>
      </c>
      <c r="W77" s="23">
        <f t="shared" si="82"/>
        <v>15</v>
      </c>
      <c r="X77" s="23">
        <f t="shared" si="101"/>
        <v>15</v>
      </c>
      <c r="Y77" s="23">
        <f t="shared" si="94"/>
        <v>15</v>
      </c>
      <c r="Z77" s="23">
        <f t="shared" si="88"/>
        <v>15</v>
      </c>
      <c r="AA77" s="23">
        <f t="shared" si="79"/>
        <v>15</v>
      </c>
      <c r="AB77" s="23">
        <f t="shared" si="98"/>
        <v>15</v>
      </c>
      <c r="AC77" s="23">
        <f t="shared" si="89"/>
        <v>15</v>
      </c>
      <c r="AD77" s="23">
        <f t="shared" si="95"/>
        <v>15</v>
      </c>
      <c r="AE77" s="23">
        <f t="shared" si="90"/>
        <v>15</v>
      </c>
      <c r="AF77" s="23">
        <f t="shared" si="83"/>
        <v>15</v>
      </c>
      <c r="AG77" s="23">
        <f t="shared" si="91"/>
        <v>15</v>
      </c>
      <c r="AH77" s="23">
        <f t="shared" si="91"/>
        <v>15</v>
      </c>
      <c r="AI77" s="23">
        <f t="shared" si="103"/>
        <v>15</v>
      </c>
      <c r="AJ77" s="23">
        <f t="shared" si="103"/>
        <v>15</v>
      </c>
      <c r="AK77" s="23">
        <f t="shared" si="96"/>
        <v>15</v>
      </c>
      <c r="AL77" s="81">
        <v>480</v>
      </c>
      <c r="AM77" s="4">
        <v>1</v>
      </c>
      <c r="AN77" s="15" t="s">
        <v>287</v>
      </c>
      <c r="AO77" s="15" t="s">
        <v>166</v>
      </c>
      <c r="AP77" s="15">
        <v>1966</v>
      </c>
      <c r="AQ77" s="15" t="s">
        <v>208</v>
      </c>
    </row>
    <row r="78" spans="1:44" x14ac:dyDescent="0.3">
      <c r="A78" s="1">
        <v>7</v>
      </c>
      <c r="B78" s="23">
        <v>0</v>
      </c>
      <c r="C78" s="23">
        <f t="shared" si="84"/>
        <v>0</v>
      </c>
      <c r="D78" s="23">
        <f>C78+5</f>
        <v>5</v>
      </c>
      <c r="E78" s="23">
        <f t="shared" si="77"/>
        <v>5</v>
      </c>
      <c r="F78" s="23">
        <f t="shared" si="72"/>
        <v>5</v>
      </c>
      <c r="G78" s="23">
        <f t="shared" si="80"/>
        <v>5</v>
      </c>
      <c r="H78" s="23">
        <f>G78+10</f>
        <v>15</v>
      </c>
      <c r="I78" s="23">
        <f t="shared" si="78"/>
        <v>15</v>
      </c>
      <c r="J78" s="23">
        <f t="shared" si="81"/>
        <v>15</v>
      </c>
      <c r="K78" s="23">
        <f t="shared" si="102"/>
        <v>15</v>
      </c>
      <c r="L78" s="23">
        <f t="shared" si="85"/>
        <v>15</v>
      </c>
      <c r="M78" s="23">
        <f t="shared" si="74"/>
        <v>15</v>
      </c>
      <c r="N78" s="23">
        <f t="shared" si="97"/>
        <v>15</v>
      </c>
      <c r="O78" s="23">
        <f t="shared" si="104"/>
        <v>15</v>
      </c>
      <c r="P78" s="23">
        <f t="shared" si="99"/>
        <v>15</v>
      </c>
      <c r="Q78" s="23">
        <f t="shared" si="105"/>
        <v>15</v>
      </c>
      <c r="R78" s="23">
        <f t="shared" si="75"/>
        <v>15</v>
      </c>
      <c r="S78" s="23">
        <f t="shared" si="86"/>
        <v>15</v>
      </c>
      <c r="T78" s="23">
        <f t="shared" si="93"/>
        <v>15</v>
      </c>
      <c r="U78" s="23">
        <f t="shared" si="100"/>
        <v>15</v>
      </c>
      <c r="V78" s="23">
        <f t="shared" si="87"/>
        <v>15</v>
      </c>
      <c r="W78" s="23">
        <f t="shared" si="82"/>
        <v>15</v>
      </c>
      <c r="X78" s="23">
        <f t="shared" si="101"/>
        <v>15</v>
      </c>
      <c r="Y78" s="23">
        <f t="shared" si="94"/>
        <v>15</v>
      </c>
      <c r="Z78" s="23">
        <f t="shared" si="88"/>
        <v>15</v>
      </c>
      <c r="AA78" s="23">
        <f t="shared" si="79"/>
        <v>15</v>
      </c>
      <c r="AB78" s="23">
        <f t="shared" si="98"/>
        <v>15</v>
      </c>
      <c r="AC78" s="23">
        <f t="shared" si="89"/>
        <v>15</v>
      </c>
      <c r="AD78" s="23">
        <f t="shared" si="95"/>
        <v>15</v>
      </c>
      <c r="AE78" s="23">
        <f t="shared" si="90"/>
        <v>15</v>
      </c>
      <c r="AF78" s="23">
        <f t="shared" si="83"/>
        <v>15</v>
      </c>
      <c r="AG78" s="23">
        <f t="shared" si="91"/>
        <v>15</v>
      </c>
      <c r="AH78" s="23">
        <f t="shared" si="91"/>
        <v>15</v>
      </c>
      <c r="AI78" s="23">
        <f t="shared" si="103"/>
        <v>15</v>
      </c>
      <c r="AJ78" s="23">
        <f t="shared" si="103"/>
        <v>15</v>
      </c>
      <c r="AK78" s="23">
        <f t="shared" si="96"/>
        <v>15</v>
      </c>
      <c r="AL78" s="81">
        <v>480</v>
      </c>
      <c r="AM78" s="4">
        <v>1</v>
      </c>
      <c r="AN78" s="15" t="s">
        <v>288</v>
      </c>
      <c r="AO78" s="15" t="s">
        <v>166</v>
      </c>
      <c r="AP78" s="15">
        <v>1966</v>
      </c>
      <c r="AQ78" s="15" t="s">
        <v>208</v>
      </c>
    </row>
    <row r="79" spans="1:44" x14ac:dyDescent="0.3">
      <c r="A79" s="1">
        <v>8</v>
      </c>
      <c r="B79" s="23">
        <v>0</v>
      </c>
      <c r="C79" s="23">
        <f t="shared" si="84"/>
        <v>0</v>
      </c>
      <c r="D79" s="23">
        <f>C79+5</f>
        <v>5</v>
      </c>
      <c r="E79" s="23">
        <f t="shared" si="77"/>
        <v>5</v>
      </c>
      <c r="F79" s="23">
        <f t="shared" si="72"/>
        <v>5</v>
      </c>
      <c r="G79" s="23">
        <f t="shared" si="80"/>
        <v>5</v>
      </c>
      <c r="H79" s="23">
        <f>G79+10</f>
        <v>15</v>
      </c>
      <c r="I79" s="23">
        <f t="shared" si="78"/>
        <v>15</v>
      </c>
      <c r="J79" s="23">
        <f t="shared" si="81"/>
        <v>15</v>
      </c>
      <c r="K79" s="23">
        <f t="shared" si="102"/>
        <v>15</v>
      </c>
      <c r="L79" s="23">
        <f t="shared" si="85"/>
        <v>15</v>
      </c>
      <c r="M79" s="23">
        <f t="shared" si="74"/>
        <v>15</v>
      </c>
      <c r="N79" s="23">
        <f t="shared" si="97"/>
        <v>15</v>
      </c>
      <c r="O79" s="23">
        <f t="shared" si="104"/>
        <v>15</v>
      </c>
      <c r="P79" s="23">
        <f t="shared" si="99"/>
        <v>15</v>
      </c>
      <c r="Q79" s="23">
        <f t="shared" si="105"/>
        <v>15</v>
      </c>
      <c r="R79" s="23">
        <f t="shared" si="75"/>
        <v>15</v>
      </c>
      <c r="S79" s="23">
        <f t="shared" si="86"/>
        <v>15</v>
      </c>
      <c r="T79" s="23">
        <f t="shared" si="93"/>
        <v>15</v>
      </c>
      <c r="U79" s="23">
        <f t="shared" si="100"/>
        <v>15</v>
      </c>
      <c r="V79" s="23">
        <f t="shared" si="87"/>
        <v>15</v>
      </c>
      <c r="W79" s="23">
        <f t="shared" si="82"/>
        <v>15</v>
      </c>
      <c r="X79" s="23">
        <f t="shared" si="101"/>
        <v>15</v>
      </c>
      <c r="Y79" s="23">
        <f t="shared" si="94"/>
        <v>15</v>
      </c>
      <c r="Z79" s="23">
        <f t="shared" si="88"/>
        <v>15</v>
      </c>
      <c r="AA79" s="23">
        <f t="shared" si="79"/>
        <v>15</v>
      </c>
      <c r="AB79" s="23">
        <f t="shared" si="98"/>
        <v>15</v>
      </c>
      <c r="AC79" s="23">
        <f t="shared" si="89"/>
        <v>15</v>
      </c>
      <c r="AD79" s="23">
        <f t="shared" si="95"/>
        <v>15</v>
      </c>
      <c r="AE79" s="23">
        <f t="shared" si="90"/>
        <v>15</v>
      </c>
      <c r="AF79" s="23">
        <f t="shared" si="83"/>
        <v>15</v>
      </c>
      <c r="AG79" s="23">
        <f t="shared" si="91"/>
        <v>15</v>
      </c>
      <c r="AH79" s="23">
        <f t="shared" si="91"/>
        <v>15</v>
      </c>
      <c r="AI79" s="23">
        <f t="shared" si="103"/>
        <v>15</v>
      </c>
      <c r="AJ79" s="23">
        <f t="shared" si="103"/>
        <v>15</v>
      </c>
      <c r="AK79" s="23">
        <f t="shared" si="96"/>
        <v>15</v>
      </c>
      <c r="AL79" s="81">
        <v>480</v>
      </c>
      <c r="AM79" s="4">
        <v>1</v>
      </c>
      <c r="AN79" s="15" t="s">
        <v>289</v>
      </c>
      <c r="AO79" s="15" t="s">
        <v>166</v>
      </c>
      <c r="AP79" s="15">
        <v>1966</v>
      </c>
      <c r="AQ79" s="15" t="s">
        <v>208</v>
      </c>
    </row>
    <row r="80" spans="1:44" x14ac:dyDescent="0.3">
      <c r="A80" s="1">
        <v>16</v>
      </c>
      <c r="B80" s="23">
        <v>0</v>
      </c>
      <c r="C80" s="23">
        <f t="shared" si="84"/>
        <v>0</v>
      </c>
      <c r="D80" s="23">
        <f t="shared" ref="D80:D97" si="106">C80+0</f>
        <v>0</v>
      </c>
      <c r="E80" s="23">
        <f>D80+5</f>
        <v>5</v>
      </c>
      <c r="F80" s="87">
        <f t="shared" si="72"/>
        <v>5</v>
      </c>
      <c r="G80" s="23">
        <f>F80+7</f>
        <v>12</v>
      </c>
      <c r="H80" s="23">
        <f t="shared" ref="H80:H117" si="107">G80+0</f>
        <v>12</v>
      </c>
      <c r="I80" s="23">
        <f t="shared" si="78"/>
        <v>12</v>
      </c>
      <c r="J80" s="23">
        <f t="shared" si="81"/>
        <v>12</v>
      </c>
      <c r="K80" s="23">
        <f t="shared" si="102"/>
        <v>12</v>
      </c>
      <c r="L80" s="23">
        <f>K80+4</f>
        <v>16</v>
      </c>
      <c r="M80" s="23">
        <f t="shared" si="74"/>
        <v>16</v>
      </c>
      <c r="N80" s="23">
        <f t="shared" si="97"/>
        <v>16</v>
      </c>
      <c r="O80" s="23">
        <f t="shared" si="104"/>
        <v>16</v>
      </c>
      <c r="P80" s="23">
        <f t="shared" si="99"/>
        <v>16</v>
      </c>
      <c r="Q80" s="23">
        <f t="shared" si="105"/>
        <v>16</v>
      </c>
      <c r="R80" s="23">
        <f t="shared" si="75"/>
        <v>16</v>
      </c>
      <c r="S80" s="23">
        <f t="shared" si="86"/>
        <v>16</v>
      </c>
      <c r="T80" s="23">
        <f t="shared" si="93"/>
        <v>16</v>
      </c>
      <c r="U80" s="23">
        <f t="shared" si="100"/>
        <v>16</v>
      </c>
      <c r="V80" s="23">
        <f t="shared" si="87"/>
        <v>16</v>
      </c>
      <c r="W80" s="23">
        <f t="shared" si="82"/>
        <v>16</v>
      </c>
      <c r="X80" s="23">
        <f t="shared" si="101"/>
        <v>16</v>
      </c>
      <c r="Y80" s="23">
        <f t="shared" si="94"/>
        <v>16</v>
      </c>
      <c r="Z80" s="23">
        <f t="shared" si="88"/>
        <v>16</v>
      </c>
      <c r="AA80" s="23">
        <f t="shared" si="79"/>
        <v>16</v>
      </c>
      <c r="AB80" s="23">
        <f t="shared" si="98"/>
        <v>16</v>
      </c>
      <c r="AC80" s="23">
        <f t="shared" si="89"/>
        <v>16</v>
      </c>
      <c r="AD80" s="23">
        <f t="shared" si="95"/>
        <v>16</v>
      </c>
      <c r="AE80" s="23">
        <f t="shared" si="90"/>
        <v>16</v>
      </c>
      <c r="AF80" s="23">
        <f t="shared" si="83"/>
        <v>16</v>
      </c>
      <c r="AG80" s="23">
        <f t="shared" si="91"/>
        <v>16</v>
      </c>
      <c r="AH80" s="23">
        <f t="shared" si="91"/>
        <v>16</v>
      </c>
      <c r="AI80" s="23">
        <f t="shared" si="103"/>
        <v>16</v>
      </c>
      <c r="AJ80" s="23">
        <f t="shared" si="103"/>
        <v>16</v>
      </c>
      <c r="AK80" s="23">
        <f t="shared" si="96"/>
        <v>16</v>
      </c>
      <c r="AL80" s="81">
        <v>0</v>
      </c>
      <c r="AM80" s="4">
        <v>1</v>
      </c>
      <c r="AN80" s="15" t="s">
        <v>520</v>
      </c>
      <c r="AO80" s="15" t="s">
        <v>518</v>
      </c>
      <c r="AP80" s="15">
        <v>1962</v>
      </c>
      <c r="AQ80" s="15" t="s">
        <v>519</v>
      </c>
    </row>
    <row r="81" spans="1:43" x14ac:dyDescent="0.3">
      <c r="A81" s="1">
        <v>9</v>
      </c>
      <c r="B81" s="23">
        <v>0</v>
      </c>
      <c r="C81" s="23">
        <f t="shared" si="84"/>
        <v>0</v>
      </c>
      <c r="D81" s="23">
        <f t="shared" si="106"/>
        <v>0</v>
      </c>
      <c r="E81" s="23">
        <f>D81+1</f>
        <v>1</v>
      </c>
      <c r="F81" s="23">
        <f t="shared" si="72"/>
        <v>1</v>
      </c>
      <c r="G81" s="23">
        <f>F81+2</f>
        <v>3</v>
      </c>
      <c r="H81" s="23">
        <f t="shared" si="107"/>
        <v>3</v>
      </c>
      <c r="I81" s="23">
        <f t="shared" si="78"/>
        <v>3</v>
      </c>
      <c r="J81" s="23">
        <f t="shared" si="81"/>
        <v>3</v>
      </c>
      <c r="K81" s="23">
        <f t="shared" si="102"/>
        <v>3</v>
      </c>
      <c r="L81" s="23">
        <f>K81+6</f>
        <v>9</v>
      </c>
      <c r="M81" s="23">
        <f t="shared" si="74"/>
        <v>9</v>
      </c>
      <c r="N81" s="23">
        <f t="shared" si="97"/>
        <v>9</v>
      </c>
      <c r="O81" s="23">
        <f t="shared" si="104"/>
        <v>9</v>
      </c>
      <c r="P81" s="23">
        <f t="shared" si="99"/>
        <v>9</v>
      </c>
      <c r="Q81" s="23">
        <f t="shared" si="105"/>
        <v>9</v>
      </c>
      <c r="R81" s="23">
        <f t="shared" si="75"/>
        <v>9</v>
      </c>
      <c r="S81" s="23">
        <f t="shared" si="86"/>
        <v>9</v>
      </c>
      <c r="T81" s="23">
        <f t="shared" si="93"/>
        <v>9</v>
      </c>
      <c r="U81" s="23">
        <f t="shared" si="100"/>
        <v>9</v>
      </c>
      <c r="V81" s="23">
        <f t="shared" si="87"/>
        <v>9</v>
      </c>
      <c r="W81" s="23">
        <f t="shared" si="82"/>
        <v>9</v>
      </c>
      <c r="X81" s="23">
        <f t="shared" si="101"/>
        <v>9</v>
      </c>
      <c r="Y81" s="23">
        <f t="shared" si="94"/>
        <v>9</v>
      </c>
      <c r="Z81" s="23">
        <f t="shared" si="88"/>
        <v>9</v>
      </c>
      <c r="AA81" s="23">
        <f t="shared" si="79"/>
        <v>9</v>
      </c>
      <c r="AB81" s="23">
        <f t="shared" si="98"/>
        <v>9</v>
      </c>
      <c r="AC81" s="23">
        <f t="shared" si="89"/>
        <v>9</v>
      </c>
      <c r="AD81" s="23">
        <f t="shared" si="95"/>
        <v>9</v>
      </c>
      <c r="AE81" s="23">
        <f t="shared" si="90"/>
        <v>9</v>
      </c>
      <c r="AF81" s="23">
        <f t="shared" si="83"/>
        <v>9</v>
      </c>
      <c r="AG81" s="23">
        <f t="shared" si="91"/>
        <v>9</v>
      </c>
      <c r="AH81" s="23">
        <f t="shared" si="91"/>
        <v>9</v>
      </c>
      <c r="AI81" s="23">
        <f t="shared" si="103"/>
        <v>9</v>
      </c>
      <c r="AJ81" s="23">
        <f t="shared" si="103"/>
        <v>9</v>
      </c>
      <c r="AK81" s="23">
        <f t="shared" si="96"/>
        <v>9</v>
      </c>
      <c r="AL81" s="81">
        <v>0</v>
      </c>
      <c r="AM81" s="4">
        <v>1</v>
      </c>
      <c r="AN81" s="15" t="s">
        <v>522</v>
      </c>
      <c r="AO81" s="15" t="s">
        <v>518</v>
      </c>
      <c r="AP81" s="15">
        <v>1962</v>
      </c>
      <c r="AQ81" s="15" t="s">
        <v>519</v>
      </c>
    </row>
    <row r="82" spans="1:43" x14ac:dyDescent="0.3">
      <c r="A82" s="1">
        <v>33</v>
      </c>
      <c r="B82" s="23">
        <v>0</v>
      </c>
      <c r="C82" s="23">
        <f t="shared" si="84"/>
        <v>0</v>
      </c>
      <c r="D82" s="23">
        <f t="shared" si="106"/>
        <v>0</v>
      </c>
      <c r="E82" s="23">
        <f>D82+8</f>
        <v>8</v>
      </c>
      <c r="F82" s="23">
        <f t="shared" si="72"/>
        <v>8</v>
      </c>
      <c r="G82" s="23">
        <f>F82+11</f>
        <v>19</v>
      </c>
      <c r="H82" s="23">
        <f t="shared" si="107"/>
        <v>19</v>
      </c>
      <c r="I82" s="23">
        <f t="shared" si="78"/>
        <v>19</v>
      </c>
      <c r="J82" s="23">
        <f t="shared" si="81"/>
        <v>19</v>
      </c>
      <c r="K82" s="23">
        <f t="shared" si="102"/>
        <v>19</v>
      </c>
      <c r="L82" s="23">
        <f>K82+14</f>
        <v>33</v>
      </c>
      <c r="M82" s="23">
        <f t="shared" si="74"/>
        <v>33</v>
      </c>
      <c r="N82" s="23">
        <f t="shared" si="97"/>
        <v>33</v>
      </c>
      <c r="O82" s="23">
        <f t="shared" si="104"/>
        <v>33</v>
      </c>
      <c r="P82" s="23">
        <f t="shared" si="99"/>
        <v>33</v>
      </c>
      <c r="Q82" s="23">
        <f t="shared" si="105"/>
        <v>33</v>
      </c>
      <c r="R82" s="23">
        <f t="shared" si="75"/>
        <v>33</v>
      </c>
      <c r="S82" s="23">
        <f t="shared" si="86"/>
        <v>33</v>
      </c>
      <c r="T82" s="23">
        <f t="shared" si="93"/>
        <v>33</v>
      </c>
      <c r="U82" s="23">
        <f t="shared" si="100"/>
        <v>33</v>
      </c>
      <c r="V82" s="23">
        <f t="shared" si="87"/>
        <v>33</v>
      </c>
      <c r="W82" s="23">
        <f t="shared" si="82"/>
        <v>33</v>
      </c>
      <c r="X82" s="23">
        <f t="shared" si="101"/>
        <v>33</v>
      </c>
      <c r="Y82" s="23">
        <f t="shared" si="94"/>
        <v>33</v>
      </c>
      <c r="Z82" s="23">
        <f t="shared" si="88"/>
        <v>33</v>
      </c>
      <c r="AA82" s="23">
        <f t="shared" si="79"/>
        <v>33</v>
      </c>
      <c r="AB82" s="23">
        <f t="shared" si="98"/>
        <v>33</v>
      </c>
      <c r="AC82" s="23">
        <f t="shared" si="89"/>
        <v>33</v>
      </c>
      <c r="AD82" s="23">
        <f t="shared" si="95"/>
        <v>33</v>
      </c>
      <c r="AE82" s="23">
        <f t="shared" si="90"/>
        <v>33</v>
      </c>
      <c r="AF82" s="23">
        <f t="shared" si="83"/>
        <v>33</v>
      </c>
      <c r="AG82" s="23">
        <f t="shared" si="91"/>
        <v>33</v>
      </c>
      <c r="AH82" s="23">
        <f t="shared" si="91"/>
        <v>33</v>
      </c>
      <c r="AI82" s="23">
        <f t="shared" si="103"/>
        <v>33</v>
      </c>
      <c r="AJ82" s="23">
        <f t="shared" si="103"/>
        <v>33</v>
      </c>
      <c r="AK82" s="23">
        <f t="shared" si="96"/>
        <v>33</v>
      </c>
      <c r="AL82" s="81">
        <v>0</v>
      </c>
      <c r="AM82" s="4">
        <v>1</v>
      </c>
      <c r="AN82" s="15" t="s">
        <v>521</v>
      </c>
      <c r="AO82" s="15" t="s">
        <v>518</v>
      </c>
      <c r="AP82" s="15">
        <v>1962</v>
      </c>
      <c r="AQ82" s="15" t="s">
        <v>519</v>
      </c>
    </row>
    <row r="83" spans="1:43" x14ac:dyDescent="0.3">
      <c r="A83" s="1">
        <v>3</v>
      </c>
      <c r="B83" s="23">
        <v>0</v>
      </c>
      <c r="C83" s="23">
        <f t="shared" si="84"/>
        <v>0</v>
      </c>
      <c r="D83" s="23">
        <f t="shared" si="106"/>
        <v>0</v>
      </c>
      <c r="E83" s="23">
        <f>D83+3</f>
        <v>3</v>
      </c>
      <c r="F83" s="23">
        <f t="shared" si="72"/>
        <v>3</v>
      </c>
      <c r="G83" s="23">
        <f>F83+0</f>
        <v>3</v>
      </c>
      <c r="H83" s="23">
        <f t="shared" si="107"/>
        <v>3</v>
      </c>
      <c r="I83" s="23">
        <f t="shared" si="78"/>
        <v>3</v>
      </c>
      <c r="J83" s="23">
        <f t="shared" si="81"/>
        <v>3</v>
      </c>
      <c r="K83" s="23">
        <f t="shared" si="102"/>
        <v>3</v>
      </c>
      <c r="L83" s="23">
        <f>K83+0</f>
        <v>3</v>
      </c>
      <c r="M83" s="23">
        <f t="shared" si="74"/>
        <v>3</v>
      </c>
      <c r="N83" s="23">
        <f t="shared" si="97"/>
        <v>3</v>
      </c>
      <c r="O83" s="23">
        <f t="shared" si="104"/>
        <v>3</v>
      </c>
      <c r="P83" s="23">
        <f t="shared" si="99"/>
        <v>3</v>
      </c>
      <c r="Q83" s="23">
        <f t="shared" si="105"/>
        <v>3</v>
      </c>
      <c r="R83" s="23">
        <f t="shared" si="75"/>
        <v>3</v>
      </c>
      <c r="S83" s="23">
        <f t="shared" si="86"/>
        <v>3</v>
      </c>
      <c r="T83" s="23">
        <f t="shared" si="93"/>
        <v>3</v>
      </c>
      <c r="U83" s="23">
        <f t="shared" si="100"/>
        <v>3</v>
      </c>
      <c r="V83" s="23">
        <f t="shared" si="87"/>
        <v>3</v>
      </c>
      <c r="W83" s="23">
        <f t="shared" si="82"/>
        <v>3</v>
      </c>
      <c r="X83" s="23">
        <f t="shared" si="101"/>
        <v>3</v>
      </c>
      <c r="Y83" s="23">
        <f t="shared" si="94"/>
        <v>3</v>
      </c>
      <c r="Z83" s="23">
        <f t="shared" si="88"/>
        <v>3</v>
      </c>
      <c r="AA83" s="23">
        <f t="shared" si="79"/>
        <v>3</v>
      </c>
      <c r="AB83" s="23">
        <f t="shared" si="98"/>
        <v>3</v>
      </c>
      <c r="AC83" s="23">
        <f t="shared" si="89"/>
        <v>3</v>
      </c>
      <c r="AD83" s="23">
        <f t="shared" si="95"/>
        <v>3</v>
      </c>
      <c r="AE83" s="23">
        <f t="shared" si="90"/>
        <v>3</v>
      </c>
      <c r="AF83" s="23">
        <f t="shared" si="83"/>
        <v>3</v>
      </c>
      <c r="AG83" s="23">
        <f t="shared" si="91"/>
        <v>3</v>
      </c>
      <c r="AH83" s="23">
        <f t="shared" si="91"/>
        <v>3</v>
      </c>
      <c r="AI83" s="23">
        <f t="shared" si="103"/>
        <v>3</v>
      </c>
      <c r="AJ83" s="23">
        <f t="shared" si="103"/>
        <v>3</v>
      </c>
      <c r="AK83" s="23">
        <f t="shared" si="96"/>
        <v>3</v>
      </c>
      <c r="AL83" s="81">
        <v>0</v>
      </c>
      <c r="AM83" s="4">
        <v>1</v>
      </c>
      <c r="AN83" s="15" t="s">
        <v>523</v>
      </c>
      <c r="AO83" s="15" t="s">
        <v>518</v>
      </c>
      <c r="AP83" s="15">
        <v>1962</v>
      </c>
      <c r="AQ83" s="15" t="s">
        <v>519</v>
      </c>
    </row>
    <row r="84" spans="1:43" x14ac:dyDescent="0.3">
      <c r="A84" s="1">
        <v>1</v>
      </c>
      <c r="B84" s="23">
        <v>0</v>
      </c>
      <c r="C84" s="23">
        <f t="shared" si="84"/>
        <v>0</v>
      </c>
      <c r="D84" s="23">
        <f t="shared" si="106"/>
        <v>0</v>
      </c>
      <c r="E84" s="23">
        <f>D84+0</f>
        <v>0</v>
      </c>
      <c r="F84" s="23">
        <f t="shared" si="72"/>
        <v>0</v>
      </c>
      <c r="G84" s="23">
        <f>F84+0</f>
        <v>0</v>
      </c>
      <c r="H84" s="23">
        <f t="shared" si="107"/>
        <v>0</v>
      </c>
      <c r="I84" s="23">
        <f t="shared" si="78"/>
        <v>0</v>
      </c>
      <c r="J84" s="23">
        <f t="shared" si="81"/>
        <v>0</v>
      </c>
      <c r="K84" s="23">
        <f t="shared" si="102"/>
        <v>0</v>
      </c>
      <c r="L84" s="23">
        <f>K84+1</f>
        <v>1</v>
      </c>
      <c r="M84" s="23">
        <f t="shared" si="74"/>
        <v>1</v>
      </c>
      <c r="N84" s="23">
        <f t="shared" si="97"/>
        <v>1</v>
      </c>
      <c r="O84" s="23">
        <f t="shared" si="104"/>
        <v>1</v>
      </c>
      <c r="P84" s="23">
        <f t="shared" si="99"/>
        <v>1</v>
      </c>
      <c r="Q84" s="23">
        <f t="shared" si="105"/>
        <v>1</v>
      </c>
      <c r="R84" s="23">
        <f t="shared" si="75"/>
        <v>1</v>
      </c>
      <c r="S84" s="23">
        <f t="shared" si="86"/>
        <v>1</v>
      </c>
      <c r="T84" s="23">
        <f t="shared" si="93"/>
        <v>1</v>
      </c>
      <c r="U84" s="23">
        <f t="shared" si="100"/>
        <v>1</v>
      </c>
      <c r="V84" s="23">
        <f t="shared" si="87"/>
        <v>1</v>
      </c>
      <c r="W84" s="23">
        <f t="shared" si="82"/>
        <v>1</v>
      </c>
      <c r="X84" s="23">
        <f t="shared" si="101"/>
        <v>1</v>
      </c>
      <c r="Y84" s="23">
        <f t="shared" si="94"/>
        <v>1</v>
      </c>
      <c r="Z84" s="23">
        <f t="shared" si="88"/>
        <v>1</v>
      </c>
      <c r="AA84" s="23">
        <f t="shared" si="79"/>
        <v>1</v>
      </c>
      <c r="AB84" s="23">
        <f t="shared" si="98"/>
        <v>1</v>
      </c>
      <c r="AC84" s="23">
        <f t="shared" si="89"/>
        <v>1</v>
      </c>
      <c r="AD84" s="23">
        <f t="shared" si="95"/>
        <v>1</v>
      </c>
      <c r="AE84" s="23">
        <f t="shared" si="90"/>
        <v>1</v>
      </c>
      <c r="AF84" s="23">
        <f t="shared" si="83"/>
        <v>1</v>
      </c>
      <c r="AG84" s="23">
        <f t="shared" si="91"/>
        <v>1</v>
      </c>
      <c r="AH84" s="23">
        <f t="shared" si="91"/>
        <v>1</v>
      </c>
      <c r="AI84" s="23">
        <f t="shared" si="103"/>
        <v>1</v>
      </c>
      <c r="AJ84" s="23">
        <f t="shared" si="103"/>
        <v>1</v>
      </c>
      <c r="AK84" s="23">
        <f t="shared" si="96"/>
        <v>1</v>
      </c>
      <c r="AL84" s="15">
        <v>0</v>
      </c>
      <c r="AM84" s="4">
        <v>1</v>
      </c>
      <c r="AN84" s="15" t="s">
        <v>525</v>
      </c>
      <c r="AO84" s="15" t="s">
        <v>518</v>
      </c>
      <c r="AP84" s="15">
        <v>1962</v>
      </c>
      <c r="AQ84" s="15" t="s">
        <v>519</v>
      </c>
    </row>
    <row r="85" spans="1:43" x14ac:dyDescent="0.3">
      <c r="A85" s="1">
        <v>7</v>
      </c>
      <c r="B85" s="23">
        <v>0</v>
      </c>
      <c r="C85" s="23">
        <f t="shared" si="84"/>
        <v>0</v>
      </c>
      <c r="D85" s="23">
        <f t="shared" si="106"/>
        <v>0</v>
      </c>
      <c r="E85" s="23">
        <f>D85+4</f>
        <v>4</v>
      </c>
      <c r="F85" s="23">
        <f t="shared" si="72"/>
        <v>4</v>
      </c>
      <c r="G85" s="23">
        <f>F85+3</f>
        <v>7</v>
      </c>
      <c r="H85" s="23">
        <f t="shared" si="107"/>
        <v>7</v>
      </c>
      <c r="I85" s="23">
        <f t="shared" si="78"/>
        <v>7</v>
      </c>
      <c r="J85" s="23">
        <f t="shared" si="81"/>
        <v>7</v>
      </c>
      <c r="K85" s="23">
        <f t="shared" si="102"/>
        <v>7</v>
      </c>
      <c r="L85" s="23">
        <f>K85+0</f>
        <v>7</v>
      </c>
      <c r="M85" s="23">
        <f t="shared" si="74"/>
        <v>7</v>
      </c>
      <c r="N85" s="23">
        <f t="shared" si="97"/>
        <v>7</v>
      </c>
      <c r="O85" s="23">
        <f t="shared" si="104"/>
        <v>7</v>
      </c>
      <c r="P85" s="23">
        <f t="shared" si="99"/>
        <v>7</v>
      </c>
      <c r="Q85" s="23">
        <f t="shared" si="105"/>
        <v>7</v>
      </c>
      <c r="R85" s="23">
        <f t="shared" si="75"/>
        <v>7</v>
      </c>
      <c r="S85" s="23">
        <f t="shared" si="86"/>
        <v>7</v>
      </c>
      <c r="T85" s="23">
        <f t="shared" si="93"/>
        <v>7</v>
      </c>
      <c r="U85" s="23">
        <f t="shared" si="100"/>
        <v>7</v>
      </c>
      <c r="V85" s="23">
        <f t="shared" si="87"/>
        <v>7</v>
      </c>
      <c r="W85" s="23">
        <f t="shared" si="82"/>
        <v>7</v>
      </c>
      <c r="X85" s="23">
        <f t="shared" si="101"/>
        <v>7</v>
      </c>
      <c r="Y85" s="23">
        <f t="shared" si="94"/>
        <v>7</v>
      </c>
      <c r="Z85" s="23">
        <f t="shared" si="88"/>
        <v>7</v>
      </c>
      <c r="AA85" s="23">
        <f t="shared" si="79"/>
        <v>7</v>
      </c>
      <c r="AB85" s="23">
        <f t="shared" si="98"/>
        <v>7</v>
      </c>
      <c r="AC85" s="23">
        <f t="shared" si="89"/>
        <v>7</v>
      </c>
      <c r="AD85" s="23">
        <f t="shared" si="95"/>
        <v>7</v>
      </c>
      <c r="AE85" s="23">
        <f t="shared" si="90"/>
        <v>7</v>
      </c>
      <c r="AF85" s="23">
        <f t="shared" si="83"/>
        <v>7</v>
      </c>
      <c r="AG85" s="23">
        <f t="shared" si="91"/>
        <v>7</v>
      </c>
      <c r="AH85" s="23">
        <f t="shared" si="91"/>
        <v>7</v>
      </c>
      <c r="AI85" s="23">
        <f t="shared" si="103"/>
        <v>7</v>
      </c>
      <c r="AJ85" s="23">
        <f t="shared" si="103"/>
        <v>7</v>
      </c>
      <c r="AK85" s="23">
        <f t="shared" si="96"/>
        <v>7</v>
      </c>
      <c r="AL85" s="81">
        <v>0</v>
      </c>
      <c r="AM85" s="4">
        <v>1</v>
      </c>
      <c r="AN85" s="15" t="s">
        <v>524</v>
      </c>
      <c r="AO85" s="15" t="s">
        <v>518</v>
      </c>
      <c r="AP85" s="15">
        <v>1962</v>
      </c>
      <c r="AQ85" s="15" t="s">
        <v>519</v>
      </c>
    </row>
    <row r="86" spans="1:43" x14ac:dyDescent="0.3">
      <c r="A86" s="1">
        <v>3</v>
      </c>
      <c r="B86" s="23">
        <v>0</v>
      </c>
      <c r="C86" s="23">
        <f t="shared" si="84"/>
        <v>0</v>
      </c>
      <c r="D86" s="23">
        <f t="shared" si="106"/>
        <v>0</v>
      </c>
      <c r="E86" s="23">
        <f>D86+0</f>
        <v>0</v>
      </c>
      <c r="F86" s="23">
        <f t="shared" si="72"/>
        <v>0</v>
      </c>
      <c r="G86" s="23">
        <f>F86+0</f>
        <v>0</v>
      </c>
      <c r="H86" s="23">
        <f t="shared" si="107"/>
        <v>0</v>
      </c>
      <c r="I86" s="23">
        <f t="shared" si="78"/>
        <v>0</v>
      </c>
      <c r="J86" s="23">
        <f t="shared" si="81"/>
        <v>0</v>
      </c>
      <c r="K86" s="23">
        <f t="shared" si="102"/>
        <v>0</v>
      </c>
      <c r="L86" s="23">
        <f>K86+3</f>
        <v>3</v>
      </c>
      <c r="M86" s="23">
        <f t="shared" si="74"/>
        <v>3</v>
      </c>
      <c r="N86" s="23">
        <f t="shared" si="97"/>
        <v>3</v>
      </c>
      <c r="O86" s="23">
        <f t="shared" si="104"/>
        <v>3</v>
      </c>
      <c r="P86" s="23">
        <f t="shared" si="99"/>
        <v>3</v>
      </c>
      <c r="Q86" s="23">
        <f t="shared" si="105"/>
        <v>3</v>
      </c>
      <c r="R86" s="23">
        <f t="shared" si="75"/>
        <v>3</v>
      </c>
      <c r="S86" s="23">
        <f t="shared" si="86"/>
        <v>3</v>
      </c>
      <c r="T86" s="23">
        <f t="shared" si="93"/>
        <v>3</v>
      </c>
      <c r="U86" s="23">
        <f t="shared" si="100"/>
        <v>3</v>
      </c>
      <c r="V86" s="23">
        <f t="shared" si="87"/>
        <v>3</v>
      </c>
      <c r="W86" s="23">
        <f t="shared" si="82"/>
        <v>3</v>
      </c>
      <c r="X86" s="23">
        <f t="shared" si="101"/>
        <v>3</v>
      </c>
      <c r="Y86" s="23">
        <f t="shared" si="94"/>
        <v>3</v>
      </c>
      <c r="Z86" s="23">
        <f t="shared" si="88"/>
        <v>3</v>
      </c>
      <c r="AA86" s="23">
        <f t="shared" si="79"/>
        <v>3</v>
      </c>
      <c r="AB86" s="23">
        <f t="shared" si="98"/>
        <v>3</v>
      </c>
      <c r="AC86" s="23">
        <f t="shared" si="89"/>
        <v>3</v>
      </c>
      <c r="AD86" s="23">
        <f t="shared" si="95"/>
        <v>3</v>
      </c>
      <c r="AE86" s="23">
        <f t="shared" si="90"/>
        <v>3</v>
      </c>
      <c r="AF86" s="23">
        <f t="shared" si="83"/>
        <v>3</v>
      </c>
      <c r="AG86" s="23">
        <f t="shared" si="91"/>
        <v>3</v>
      </c>
      <c r="AH86" s="23">
        <f t="shared" si="91"/>
        <v>3</v>
      </c>
      <c r="AI86" s="23">
        <f t="shared" si="103"/>
        <v>3</v>
      </c>
      <c r="AJ86" s="23">
        <f t="shared" si="103"/>
        <v>3</v>
      </c>
      <c r="AK86" s="23">
        <f t="shared" si="96"/>
        <v>3</v>
      </c>
      <c r="AL86" s="15">
        <v>0</v>
      </c>
      <c r="AM86" s="4">
        <v>3</v>
      </c>
      <c r="AN86" s="15" t="s">
        <v>523</v>
      </c>
      <c r="AO86" s="15" t="s">
        <v>518</v>
      </c>
      <c r="AP86" s="15">
        <v>1962</v>
      </c>
      <c r="AQ86" s="15" t="s">
        <v>519</v>
      </c>
    </row>
    <row r="87" spans="1:43" x14ac:dyDescent="0.3">
      <c r="A87" s="1">
        <v>3</v>
      </c>
      <c r="B87" s="23">
        <v>0</v>
      </c>
      <c r="C87" s="23">
        <f t="shared" si="84"/>
        <v>0</v>
      </c>
      <c r="D87" s="23">
        <f t="shared" si="106"/>
        <v>0</v>
      </c>
      <c r="E87" s="23">
        <f>D87+0</f>
        <v>0</v>
      </c>
      <c r="F87" s="23">
        <f t="shared" si="72"/>
        <v>0</v>
      </c>
      <c r="G87" s="23">
        <f>F87+2</f>
        <v>2</v>
      </c>
      <c r="H87" s="23">
        <f t="shared" si="107"/>
        <v>2</v>
      </c>
      <c r="I87" s="23">
        <f t="shared" si="78"/>
        <v>2</v>
      </c>
      <c r="J87" s="23">
        <f t="shared" si="81"/>
        <v>2</v>
      </c>
      <c r="K87" s="23">
        <f t="shared" si="102"/>
        <v>2</v>
      </c>
      <c r="L87" s="23">
        <f>K87+1</f>
        <v>3</v>
      </c>
      <c r="M87" s="23">
        <f t="shared" si="74"/>
        <v>3</v>
      </c>
      <c r="N87" s="23">
        <f t="shared" si="97"/>
        <v>3</v>
      </c>
      <c r="O87" s="23">
        <f t="shared" si="104"/>
        <v>3</v>
      </c>
      <c r="P87" s="23">
        <f t="shared" si="99"/>
        <v>3</v>
      </c>
      <c r="Q87" s="23">
        <f t="shared" si="105"/>
        <v>3</v>
      </c>
      <c r="R87" s="23">
        <f t="shared" si="75"/>
        <v>3</v>
      </c>
      <c r="S87" s="23">
        <f t="shared" si="86"/>
        <v>3</v>
      </c>
      <c r="T87" s="23">
        <f t="shared" si="93"/>
        <v>3</v>
      </c>
      <c r="U87" s="23">
        <f t="shared" si="100"/>
        <v>3</v>
      </c>
      <c r="V87" s="23">
        <f t="shared" si="87"/>
        <v>3</v>
      </c>
      <c r="W87" s="23">
        <f t="shared" si="82"/>
        <v>3</v>
      </c>
      <c r="X87" s="23">
        <f t="shared" si="101"/>
        <v>3</v>
      </c>
      <c r="Y87" s="23">
        <f t="shared" si="94"/>
        <v>3</v>
      </c>
      <c r="Z87" s="23">
        <f t="shared" si="88"/>
        <v>3</v>
      </c>
      <c r="AA87" s="23">
        <f t="shared" si="79"/>
        <v>3</v>
      </c>
      <c r="AB87" s="23">
        <f t="shared" si="98"/>
        <v>3</v>
      </c>
      <c r="AC87" s="23">
        <f t="shared" si="89"/>
        <v>3</v>
      </c>
      <c r="AD87" s="23">
        <f t="shared" si="95"/>
        <v>3</v>
      </c>
      <c r="AE87" s="23">
        <f t="shared" si="90"/>
        <v>3</v>
      </c>
      <c r="AF87" s="23">
        <f t="shared" si="83"/>
        <v>3</v>
      </c>
      <c r="AG87" s="23">
        <f t="shared" si="91"/>
        <v>3</v>
      </c>
      <c r="AH87" s="23">
        <f t="shared" si="91"/>
        <v>3</v>
      </c>
      <c r="AI87" s="23">
        <f t="shared" si="103"/>
        <v>3</v>
      </c>
      <c r="AJ87" s="23">
        <f t="shared" si="103"/>
        <v>3</v>
      </c>
      <c r="AK87" s="23">
        <f t="shared" si="96"/>
        <v>3</v>
      </c>
      <c r="AL87" s="81">
        <v>0</v>
      </c>
      <c r="AM87" s="4">
        <v>3</v>
      </c>
      <c r="AN87" s="15" t="s">
        <v>525</v>
      </c>
      <c r="AO87" s="15" t="s">
        <v>518</v>
      </c>
      <c r="AP87" s="15">
        <v>1962</v>
      </c>
      <c r="AQ87" s="15" t="s">
        <v>519</v>
      </c>
    </row>
    <row r="88" spans="1:43" x14ac:dyDescent="0.3">
      <c r="A88" s="1">
        <v>15</v>
      </c>
      <c r="B88" s="23">
        <v>0</v>
      </c>
      <c r="C88" s="23">
        <f t="shared" si="84"/>
        <v>0</v>
      </c>
      <c r="D88" s="23">
        <f t="shared" si="106"/>
        <v>0</v>
      </c>
      <c r="E88" s="23">
        <f>D88+3</f>
        <v>3</v>
      </c>
      <c r="F88" s="23">
        <f t="shared" si="72"/>
        <v>3</v>
      </c>
      <c r="G88" s="23">
        <f>F88+4</f>
        <v>7</v>
      </c>
      <c r="H88" s="23">
        <f t="shared" si="107"/>
        <v>7</v>
      </c>
      <c r="I88" s="23">
        <f t="shared" si="78"/>
        <v>7</v>
      </c>
      <c r="J88" s="23">
        <f t="shared" si="81"/>
        <v>7</v>
      </c>
      <c r="K88" s="23">
        <f t="shared" si="102"/>
        <v>7</v>
      </c>
      <c r="L88" s="23">
        <f>K88+8</f>
        <v>15</v>
      </c>
      <c r="M88" s="23">
        <f t="shared" si="74"/>
        <v>15</v>
      </c>
      <c r="N88" s="23">
        <f t="shared" si="97"/>
        <v>15</v>
      </c>
      <c r="O88" s="23">
        <f t="shared" si="104"/>
        <v>15</v>
      </c>
      <c r="P88" s="23">
        <f t="shared" si="99"/>
        <v>15</v>
      </c>
      <c r="Q88" s="23">
        <f t="shared" si="105"/>
        <v>15</v>
      </c>
      <c r="R88" s="23">
        <f t="shared" si="75"/>
        <v>15</v>
      </c>
      <c r="S88" s="23">
        <f t="shared" si="86"/>
        <v>15</v>
      </c>
      <c r="T88" s="23">
        <f t="shared" si="93"/>
        <v>15</v>
      </c>
      <c r="U88" s="23">
        <f t="shared" si="100"/>
        <v>15</v>
      </c>
      <c r="V88" s="23">
        <f t="shared" si="87"/>
        <v>15</v>
      </c>
      <c r="W88" s="23">
        <f t="shared" si="82"/>
        <v>15</v>
      </c>
      <c r="X88" s="23">
        <f t="shared" si="101"/>
        <v>15</v>
      </c>
      <c r="Y88" s="23">
        <f t="shared" si="94"/>
        <v>15</v>
      </c>
      <c r="Z88" s="23">
        <f t="shared" si="88"/>
        <v>15</v>
      </c>
      <c r="AA88" s="23">
        <f t="shared" si="79"/>
        <v>15</v>
      </c>
      <c r="AB88" s="23">
        <f t="shared" si="98"/>
        <v>15</v>
      </c>
      <c r="AC88" s="23">
        <f t="shared" si="89"/>
        <v>15</v>
      </c>
      <c r="AD88" s="23">
        <f t="shared" si="95"/>
        <v>15</v>
      </c>
      <c r="AE88" s="23">
        <f t="shared" si="90"/>
        <v>15</v>
      </c>
      <c r="AF88" s="23">
        <f t="shared" si="83"/>
        <v>15</v>
      </c>
      <c r="AG88" s="23">
        <f t="shared" si="91"/>
        <v>15</v>
      </c>
      <c r="AH88" s="23">
        <f t="shared" si="91"/>
        <v>15</v>
      </c>
      <c r="AI88" s="23">
        <f t="shared" si="103"/>
        <v>15</v>
      </c>
      <c r="AJ88" s="23">
        <f t="shared" si="103"/>
        <v>15</v>
      </c>
      <c r="AK88" s="23">
        <f t="shared" si="96"/>
        <v>15</v>
      </c>
      <c r="AL88" s="81">
        <v>0</v>
      </c>
      <c r="AM88" s="4">
        <v>3</v>
      </c>
      <c r="AN88" s="15" t="s">
        <v>524</v>
      </c>
      <c r="AO88" s="15" t="s">
        <v>518</v>
      </c>
      <c r="AP88" s="15">
        <v>1962</v>
      </c>
      <c r="AQ88" s="15" t="s">
        <v>519</v>
      </c>
    </row>
    <row r="89" spans="1:43" x14ac:dyDescent="0.3">
      <c r="A89" s="1">
        <v>16</v>
      </c>
      <c r="B89" s="23">
        <v>0</v>
      </c>
      <c r="C89" s="23">
        <f t="shared" si="84"/>
        <v>0</v>
      </c>
      <c r="D89" s="23">
        <f t="shared" si="106"/>
        <v>0</v>
      </c>
      <c r="E89" s="23">
        <f t="shared" ref="E89:E120" si="108">D89+0</f>
        <v>0</v>
      </c>
      <c r="F89" s="23">
        <f t="shared" si="72"/>
        <v>0</v>
      </c>
      <c r="G89" s="23">
        <f t="shared" ref="G89:G120" si="109">F89+0</f>
        <v>0</v>
      </c>
      <c r="H89" s="23">
        <f t="shared" si="107"/>
        <v>0</v>
      </c>
      <c r="I89" s="23">
        <f t="shared" si="78"/>
        <v>0</v>
      </c>
      <c r="J89" s="23">
        <f t="shared" si="81"/>
        <v>0</v>
      </c>
      <c r="K89" s="23">
        <f t="shared" si="102"/>
        <v>0</v>
      </c>
      <c r="L89" s="23">
        <f>K89+5</f>
        <v>5</v>
      </c>
      <c r="M89" s="23">
        <f t="shared" si="74"/>
        <v>5</v>
      </c>
      <c r="N89" s="23">
        <f t="shared" si="97"/>
        <v>5</v>
      </c>
      <c r="O89" s="23">
        <f t="shared" si="104"/>
        <v>5</v>
      </c>
      <c r="P89" s="23">
        <f t="shared" si="99"/>
        <v>5</v>
      </c>
      <c r="Q89" s="23">
        <f t="shared" si="105"/>
        <v>5</v>
      </c>
      <c r="R89" s="23">
        <f t="shared" ref="R89:R120" si="110">Q89+0</f>
        <v>5</v>
      </c>
      <c r="S89" s="23">
        <f>R89+10</f>
        <v>15</v>
      </c>
      <c r="T89" s="23">
        <f t="shared" si="93"/>
        <v>15</v>
      </c>
      <c r="U89" s="23">
        <f t="shared" si="100"/>
        <v>15</v>
      </c>
      <c r="V89" s="23">
        <f t="shared" si="87"/>
        <v>15</v>
      </c>
      <c r="W89" s="23">
        <f t="shared" si="82"/>
        <v>15</v>
      </c>
      <c r="X89" s="23">
        <f t="shared" si="101"/>
        <v>15</v>
      </c>
      <c r="Y89" s="23">
        <f t="shared" si="94"/>
        <v>15</v>
      </c>
      <c r="Z89" s="23">
        <f t="shared" si="88"/>
        <v>15</v>
      </c>
      <c r="AA89" s="23">
        <f t="shared" si="79"/>
        <v>15</v>
      </c>
      <c r="AB89" s="23">
        <f t="shared" si="98"/>
        <v>15</v>
      </c>
      <c r="AC89" s="23">
        <f t="shared" si="89"/>
        <v>15</v>
      </c>
      <c r="AD89" s="23">
        <f t="shared" si="95"/>
        <v>15</v>
      </c>
      <c r="AE89" s="23">
        <f t="shared" si="90"/>
        <v>15</v>
      </c>
      <c r="AF89" s="23">
        <f t="shared" si="83"/>
        <v>15</v>
      </c>
      <c r="AG89" s="23">
        <f>AF89+1</f>
        <v>16</v>
      </c>
      <c r="AH89" s="23">
        <f>AG89+0</f>
        <v>16</v>
      </c>
      <c r="AI89" s="23">
        <f t="shared" si="103"/>
        <v>16</v>
      </c>
      <c r="AJ89" s="23">
        <f t="shared" si="103"/>
        <v>16</v>
      </c>
      <c r="AK89" s="23">
        <f t="shared" si="96"/>
        <v>16</v>
      </c>
      <c r="AL89" s="68">
        <v>720</v>
      </c>
      <c r="AM89" s="4">
        <v>1</v>
      </c>
      <c r="AN89" s="15" t="s">
        <v>212</v>
      </c>
      <c r="AO89" s="15" t="s">
        <v>218</v>
      </c>
      <c r="AP89" s="15">
        <v>1961</v>
      </c>
      <c r="AQ89" s="15" t="s">
        <v>219</v>
      </c>
    </row>
    <row r="90" spans="1:43" x14ac:dyDescent="0.3">
      <c r="A90" s="1">
        <v>21</v>
      </c>
      <c r="B90" s="23">
        <v>0</v>
      </c>
      <c r="C90" s="23">
        <f t="shared" si="84"/>
        <v>0</v>
      </c>
      <c r="D90" s="23">
        <f t="shared" si="106"/>
        <v>0</v>
      </c>
      <c r="E90" s="23">
        <f t="shared" si="108"/>
        <v>0</v>
      </c>
      <c r="F90" s="23">
        <f t="shared" si="72"/>
        <v>0</v>
      </c>
      <c r="G90" s="23">
        <f t="shared" si="109"/>
        <v>0</v>
      </c>
      <c r="H90" s="23">
        <f t="shared" si="107"/>
        <v>0</v>
      </c>
      <c r="I90" s="23">
        <f t="shared" si="78"/>
        <v>0</v>
      </c>
      <c r="J90" s="23">
        <f t="shared" si="81"/>
        <v>0</v>
      </c>
      <c r="K90" s="23">
        <f t="shared" si="102"/>
        <v>0</v>
      </c>
      <c r="L90" s="23">
        <f>K90+11</f>
        <v>11</v>
      </c>
      <c r="M90" s="23">
        <f t="shared" si="74"/>
        <v>11</v>
      </c>
      <c r="N90" s="23">
        <f t="shared" si="97"/>
        <v>11</v>
      </c>
      <c r="O90" s="23">
        <f t="shared" si="104"/>
        <v>11</v>
      </c>
      <c r="P90" s="23">
        <f t="shared" si="99"/>
        <v>11</v>
      </c>
      <c r="Q90" s="23">
        <f t="shared" si="105"/>
        <v>11</v>
      </c>
      <c r="R90" s="23">
        <f t="shared" si="110"/>
        <v>11</v>
      </c>
      <c r="S90" s="23">
        <f>R90+5</f>
        <v>16</v>
      </c>
      <c r="T90" s="23">
        <f t="shared" si="93"/>
        <v>16</v>
      </c>
      <c r="U90" s="23">
        <f t="shared" si="100"/>
        <v>16</v>
      </c>
      <c r="V90" s="23">
        <f t="shared" si="87"/>
        <v>16</v>
      </c>
      <c r="W90" s="23">
        <f t="shared" si="82"/>
        <v>16</v>
      </c>
      <c r="X90" s="23">
        <f t="shared" si="101"/>
        <v>16</v>
      </c>
      <c r="Y90" s="23">
        <f t="shared" si="94"/>
        <v>16</v>
      </c>
      <c r="Z90" s="23">
        <f t="shared" si="88"/>
        <v>16</v>
      </c>
      <c r="AA90" s="23">
        <f t="shared" si="79"/>
        <v>16</v>
      </c>
      <c r="AB90" s="23">
        <f t="shared" si="98"/>
        <v>16</v>
      </c>
      <c r="AC90" s="23">
        <f t="shared" si="89"/>
        <v>16</v>
      </c>
      <c r="AD90" s="23">
        <f t="shared" si="95"/>
        <v>16</v>
      </c>
      <c r="AE90" s="23">
        <f>AD90+2</f>
        <v>18</v>
      </c>
      <c r="AF90" s="23">
        <f t="shared" si="83"/>
        <v>18</v>
      </c>
      <c r="AG90" s="23">
        <f>AF90+1</f>
        <v>19</v>
      </c>
      <c r="AH90" s="23">
        <f>AG90+2</f>
        <v>21</v>
      </c>
      <c r="AI90" s="23">
        <f t="shared" si="103"/>
        <v>21</v>
      </c>
      <c r="AJ90" s="23">
        <f t="shared" si="103"/>
        <v>21</v>
      </c>
      <c r="AK90" s="23">
        <f t="shared" si="96"/>
        <v>21</v>
      </c>
      <c r="AL90" s="68">
        <v>720</v>
      </c>
      <c r="AM90" s="4">
        <v>1</v>
      </c>
      <c r="AN90" s="15" t="s">
        <v>214</v>
      </c>
      <c r="AO90" s="15" t="s">
        <v>218</v>
      </c>
      <c r="AP90" s="15">
        <v>1961</v>
      </c>
      <c r="AQ90" s="15" t="s">
        <v>219</v>
      </c>
    </row>
    <row r="91" spans="1:43" x14ac:dyDescent="0.3">
      <c r="A91" s="1">
        <v>15</v>
      </c>
      <c r="B91" s="23">
        <v>0</v>
      </c>
      <c r="C91" s="23">
        <f t="shared" si="84"/>
        <v>0</v>
      </c>
      <c r="D91" s="23">
        <f t="shared" si="106"/>
        <v>0</v>
      </c>
      <c r="E91" s="23">
        <f t="shared" si="108"/>
        <v>0</v>
      </c>
      <c r="F91" s="23">
        <f t="shared" si="72"/>
        <v>0</v>
      </c>
      <c r="G91" s="23">
        <f t="shared" si="109"/>
        <v>0</v>
      </c>
      <c r="H91" s="23">
        <f t="shared" si="107"/>
        <v>0</v>
      </c>
      <c r="I91" s="23">
        <f t="shared" ref="I91:I122" si="111">H91+0</f>
        <v>0</v>
      </c>
      <c r="J91" s="23">
        <f t="shared" si="81"/>
        <v>0</v>
      </c>
      <c r="K91" s="23">
        <f t="shared" si="102"/>
        <v>0</v>
      </c>
      <c r="L91" s="23">
        <f>K91+8</f>
        <v>8</v>
      </c>
      <c r="M91" s="23">
        <f t="shared" si="74"/>
        <v>8</v>
      </c>
      <c r="N91" s="23">
        <f t="shared" si="97"/>
        <v>8</v>
      </c>
      <c r="O91" s="23">
        <f t="shared" si="104"/>
        <v>8</v>
      </c>
      <c r="P91" s="23">
        <f t="shared" si="99"/>
        <v>8</v>
      </c>
      <c r="Q91" s="23">
        <f t="shared" si="105"/>
        <v>8</v>
      </c>
      <c r="R91" s="23">
        <f t="shared" si="110"/>
        <v>8</v>
      </c>
      <c r="S91" s="23">
        <f>R91+1</f>
        <v>9</v>
      </c>
      <c r="T91" s="23">
        <f t="shared" si="93"/>
        <v>9</v>
      </c>
      <c r="U91" s="23">
        <f t="shared" si="100"/>
        <v>9</v>
      </c>
      <c r="V91" s="23">
        <f t="shared" si="87"/>
        <v>9</v>
      </c>
      <c r="W91" s="23">
        <f t="shared" si="82"/>
        <v>9</v>
      </c>
      <c r="X91" s="23">
        <f t="shared" si="101"/>
        <v>9</v>
      </c>
      <c r="Y91" s="23">
        <f t="shared" si="94"/>
        <v>9</v>
      </c>
      <c r="Z91" s="23">
        <f t="shared" si="88"/>
        <v>9</v>
      </c>
      <c r="AA91" s="23">
        <f t="shared" ref="AA91:AA122" si="112">Z91+0</f>
        <v>9</v>
      </c>
      <c r="AB91" s="23">
        <f t="shared" si="98"/>
        <v>9</v>
      </c>
      <c r="AC91" s="23">
        <f t="shared" si="89"/>
        <v>9</v>
      </c>
      <c r="AD91" s="23">
        <f t="shared" si="95"/>
        <v>9</v>
      </c>
      <c r="AE91" s="23">
        <f>AD91+3</f>
        <v>12</v>
      </c>
      <c r="AF91" s="23">
        <f t="shared" si="83"/>
        <v>12</v>
      </c>
      <c r="AG91" s="23">
        <f t="shared" ref="AG91:AG96" si="113">AF91+0</f>
        <v>12</v>
      </c>
      <c r="AH91" s="23">
        <f>AG91+3</f>
        <v>15</v>
      </c>
      <c r="AI91" s="23">
        <f t="shared" si="103"/>
        <v>15</v>
      </c>
      <c r="AJ91" s="23">
        <f t="shared" si="103"/>
        <v>15</v>
      </c>
      <c r="AK91" s="23">
        <f t="shared" si="96"/>
        <v>15</v>
      </c>
      <c r="AL91" s="68">
        <v>762</v>
      </c>
      <c r="AM91" s="4">
        <v>1</v>
      </c>
      <c r="AN91" s="15" t="s">
        <v>216</v>
      </c>
      <c r="AO91" s="15" t="s">
        <v>218</v>
      </c>
      <c r="AP91" s="15">
        <v>1961</v>
      </c>
      <c r="AQ91" s="15" t="s">
        <v>219</v>
      </c>
    </row>
    <row r="92" spans="1:43" x14ac:dyDescent="0.3">
      <c r="A92" s="1">
        <v>12</v>
      </c>
      <c r="B92" s="23">
        <v>0</v>
      </c>
      <c r="C92" s="23">
        <f t="shared" si="84"/>
        <v>0</v>
      </c>
      <c r="D92" s="23">
        <f t="shared" si="106"/>
        <v>0</v>
      </c>
      <c r="E92" s="23">
        <f t="shared" si="108"/>
        <v>0</v>
      </c>
      <c r="F92" s="23">
        <f t="shared" si="72"/>
        <v>0</v>
      </c>
      <c r="G92" s="23">
        <f t="shared" si="109"/>
        <v>0</v>
      </c>
      <c r="H92" s="23">
        <f t="shared" si="107"/>
        <v>0</v>
      </c>
      <c r="I92" s="23">
        <f t="shared" si="111"/>
        <v>0</v>
      </c>
      <c r="J92" s="23">
        <f t="shared" si="81"/>
        <v>0</v>
      </c>
      <c r="K92" s="23">
        <f t="shared" si="102"/>
        <v>0</v>
      </c>
      <c r="L92" s="23">
        <f>K92+5</f>
        <v>5</v>
      </c>
      <c r="M92" s="23">
        <f t="shared" si="74"/>
        <v>5</v>
      </c>
      <c r="N92" s="23">
        <f t="shared" si="97"/>
        <v>5</v>
      </c>
      <c r="O92" s="23">
        <f t="shared" si="104"/>
        <v>5</v>
      </c>
      <c r="P92" s="23">
        <f t="shared" si="99"/>
        <v>5</v>
      </c>
      <c r="Q92" s="23">
        <f t="shared" si="105"/>
        <v>5</v>
      </c>
      <c r="R92" s="23">
        <f t="shared" si="110"/>
        <v>5</v>
      </c>
      <c r="S92" s="23">
        <f>R92+2</f>
        <v>7</v>
      </c>
      <c r="T92" s="23">
        <f t="shared" si="93"/>
        <v>7</v>
      </c>
      <c r="U92" s="23">
        <f t="shared" si="100"/>
        <v>7</v>
      </c>
      <c r="V92" s="23">
        <f t="shared" si="87"/>
        <v>7</v>
      </c>
      <c r="W92" s="23">
        <f t="shared" si="82"/>
        <v>7</v>
      </c>
      <c r="X92" s="23">
        <f t="shared" si="101"/>
        <v>7</v>
      </c>
      <c r="Y92" s="23">
        <f t="shared" si="94"/>
        <v>7</v>
      </c>
      <c r="Z92" s="23">
        <f>Y92+5</f>
        <v>12</v>
      </c>
      <c r="AA92" s="23">
        <f t="shared" si="112"/>
        <v>12</v>
      </c>
      <c r="AB92" s="23">
        <f t="shared" si="98"/>
        <v>12</v>
      </c>
      <c r="AC92" s="23">
        <f t="shared" si="89"/>
        <v>12</v>
      </c>
      <c r="AD92" s="23">
        <f t="shared" si="95"/>
        <v>12</v>
      </c>
      <c r="AE92" s="23">
        <f>AD92+0</f>
        <v>12</v>
      </c>
      <c r="AF92" s="23">
        <f t="shared" si="83"/>
        <v>12</v>
      </c>
      <c r="AG92" s="23">
        <f t="shared" si="113"/>
        <v>12</v>
      </c>
      <c r="AH92" s="23">
        <f>AG92+0</f>
        <v>12</v>
      </c>
      <c r="AI92" s="23">
        <f t="shared" si="103"/>
        <v>12</v>
      </c>
      <c r="AJ92" s="23">
        <f t="shared" si="103"/>
        <v>12</v>
      </c>
      <c r="AK92" s="23">
        <f t="shared" si="96"/>
        <v>12</v>
      </c>
      <c r="AL92" s="68">
        <v>780</v>
      </c>
      <c r="AM92" s="4">
        <v>2</v>
      </c>
      <c r="AN92" s="15" t="s">
        <v>212</v>
      </c>
      <c r="AO92" s="15" t="s">
        <v>218</v>
      </c>
      <c r="AP92" s="15">
        <v>1961</v>
      </c>
      <c r="AQ92" s="15" t="s">
        <v>219</v>
      </c>
    </row>
    <row r="93" spans="1:43" x14ac:dyDescent="0.3">
      <c r="A93" s="1">
        <v>19</v>
      </c>
      <c r="B93" s="23">
        <v>0</v>
      </c>
      <c r="C93" s="23">
        <f t="shared" si="84"/>
        <v>0</v>
      </c>
      <c r="D93" s="23">
        <f t="shared" si="106"/>
        <v>0</v>
      </c>
      <c r="E93" s="23">
        <f t="shared" si="108"/>
        <v>0</v>
      </c>
      <c r="F93" s="23">
        <f t="shared" si="72"/>
        <v>0</v>
      </c>
      <c r="G93" s="23">
        <f t="shared" si="109"/>
        <v>0</v>
      </c>
      <c r="H93" s="23">
        <f t="shared" si="107"/>
        <v>0</v>
      </c>
      <c r="I93" s="23">
        <f t="shared" si="111"/>
        <v>0</v>
      </c>
      <c r="J93" s="23">
        <f t="shared" si="81"/>
        <v>0</v>
      </c>
      <c r="K93" s="23">
        <f t="shared" si="102"/>
        <v>0</v>
      </c>
      <c r="L93" s="23">
        <f>K93+15</f>
        <v>15</v>
      </c>
      <c r="M93" s="23">
        <f t="shared" si="74"/>
        <v>15</v>
      </c>
      <c r="N93" s="23">
        <f t="shared" si="97"/>
        <v>15</v>
      </c>
      <c r="O93" s="23">
        <f t="shared" si="104"/>
        <v>15</v>
      </c>
      <c r="P93" s="23">
        <f t="shared" si="99"/>
        <v>15</v>
      </c>
      <c r="Q93" s="23">
        <f t="shared" si="105"/>
        <v>15</v>
      </c>
      <c r="R93" s="23">
        <f t="shared" si="110"/>
        <v>15</v>
      </c>
      <c r="S93" s="23">
        <f>R93+0</f>
        <v>15</v>
      </c>
      <c r="T93" s="23">
        <f t="shared" si="93"/>
        <v>15</v>
      </c>
      <c r="U93" s="23">
        <f t="shared" si="100"/>
        <v>15</v>
      </c>
      <c r="V93" s="23">
        <f t="shared" si="87"/>
        <v>15</v>
      </c>
      <c r="W93" s="23">
        <f t="shared" si="82"/>
        <v>15</v>
      </c>
      <c r="X93" s="23">
        <f t="shared" si="101"/>
        <v>15</v>
      </c>
      <c r="Y93" s="23">
        <f t="shared" si="94"/>
        <v>15</v>
      </c>
      <c r="Z93" s="23">
        <f>Y93+4</f>
        <v>19</v>
      </c>
      <c r="AA93" s="23">
        <f t="shared" si="112"/>
        <v>19</v>
      </c>
      <c r="AB93" s="23">
        <f t="shared" si="98"/>
        <v>19</v>
      </c>
      <c r="AC93" s="23">
        <f t="shared" si="89"/>
        <v>19</v>
      </c>
      <c r="AD93" s="23">
        <f t="shared" si="95"/>
        <v>19</v>
      </c>
      <c r="AE93" s="23">
        <f>AD93+0</f>
        <v>19</v>
      </c>
      <c r="AF93" s="23">
        <f t="shared" si="83"/>
        <v>19</v>
      </c>
      <c r="AG93" s="23">
        <f t="shared" si="113"/>
        <v>19</v>
      </c>
      <c r="AH93" s="23">
        <f>AG93+0</f>
        <v>19</v>
      </c>
      <c r="AI93" s="23">
        <f t="shared" si="103"/>
        <v>19</v>
      </c>
      <c r="AJ93" s="23">
        <f t="shared" si="103"/>
        <v>19</v>
      </c>
      <c r="AK93" s="23">
        <f t="shared" si="96"/>
        <v>19</v>
      </c>
      <c r="AL93" s="68">
        <v>762</v>
      </c>
      <c r="AM93" s="4">
        <v>2</v>
      </c>
      <c r="AN93" s="15" t="s">
        <v>214</v>
      </c>
      <c r="AO93" s="15" t="s">
        <v>218</v>
      </c>
      <c r="AP93" s="15">
        <v>1961</v>
      </c>
      <c r="AQ93" s="15" t="s">
        <v>219</v>
      </c>
    </row>
    <row r="94" spans="1:43" x14ac:dyDescent="0.3">
      <c r="A94" s="1">
        <v>24</v>
      </c>
      <c r="B94" s="23">
        <v>0</v>
      </c>
      <c r="C94" s="23">
        <f t="shared" si="84"/>
        <v>0</v>
      </c>
      <c r="D94" s="23">
        <f t="shared" si="106"/>
        <v>0</v>
      </c>
      <c r="E94" s="23">
        <f t="shared" si="108"/>
        <v>0</v>
      </c>
      <c r="F94" s="23">
        <f t="shared" si="72"/>
        <v>0</v>
      </c>
      <c r="G94" s="23">
        <f t="shared" si="109"/>
        <v>0</v>
      </c>
      <c r="H94" s="23">
        <f t="shared" si="107"/>
        <v>0</v>
      </c>
      <c r="I94" s="23">
        <f t="shared" si="111"/>
        <v>0</v>
      </c>
      <c r="J94" s="23">
        <f t="shared" si="81"/>
        <v>0</v>
      </c>
      <c r="K94" s="23">
        <f t="shared" si="102"/>
        <v>0</v>
      </c>
      <c r="L94" s="23">
        <f>K94+15</f>
        <v>15</v>
      </c>
      <c r="M94" s="23">
        <f t="shared" si="74"/>
        <v>15</v>
      </c>
      <c r="N94" s="23">
        <f t="shared" si="97"/>
        <v>15</v>
      </c>
      <c r="O94" s="23">
        <f t="shared" si="104"/>
        <v>15</v>
      </c>
      <c r="P94" s="23">
        <f t="shared" si="99"/>
        <v>15</v>
      </c>
      <c r="Q94" s="23">
        <f t="shared" si="105"/>
        <v>15</v>
      </c>
      <c r="R94" s="23">
        <f t="shared" si="110"/>
        <v>15</v>
      </c>
      <c r="S94" s="23">
        <f>R94+0</f>
        <v>15</v>
      </c>
      <c r="T94" s="23">
        <f t="shared" si="93"/>
        <v>15</v>
      </c>
      <c r="U94" s="23">
        <f t="shared" si="100"/>
        <v>15</v>
      </c>
      <c r="V94" s="23">
        <f t="shared" ref="V94:V125" si="114">U94+0</f>
        <v>15</v>
      </c>
      <c r="W94" s="23">
        <f t="shared" si="82"/>
        <v>15</v>
      </c>
      <c r="X94" s="23">
        <f t="shared" si="101"/>
        <v>15</v>
      </c>
      <c r="Y94" s="23">
        <f t="shared" si="94"/>
        <v>15</v>
      </c>
      <c r="Z94" s="23">
        <f>Y94+7</f>
        <v>22</v>
      </c>
      <c r="AA94" s="23">
        <f t="shared" si="112"/>
        <v>22</v>
      </c>
      <c r="AB94" s="23">
        <f t="shared" si="98"/>
        <v>22</v>
      </c>
      <c r="AC94" s="23">
        <f t="shared" ref="AC94:AC125" si="115">AB94+0</f>
        <v>22</v>
      </c>
      <c r="AD94" s="23">
        <f t="shared" si="95"/>
        <v>22</v>
      </c>
      <c r="AE94" s="23">
        <f>AD94+1</f>
        <v>23</v>
      </c>
      <c r="AF94" s="23">
        <f t="shared" si="83"/>
        <v>23</v>
      </c>
      <c r="AG94" s="23">
        <f t="shared" si="113"/>
        <v>23</v>
      </c>
      <c r="AH94" s="23">
        <f>AG94+1</f>
        <v>24</v>
      </c>
      <c r="AI94" s="23">
        <f t="shared" si="103"/>
        <v>24</v>
      </c>
      <c r="AJ94" s="23">
        <f t="shared" si="103"/>
        <v>24</v>
      </c>
      <c r="AK94" s="23">
        <f t="shared" si="96"/>
        <v>24</v>
      </c>
      <c r="AL94" s="68">
        <v>762</v>
      </c>
      <c r="AM94" s="4">
        <v>2</v>
      </c>
      <c r="AN94" s="15" t="s">
        <v>216</v>
      </c>
      <c r="AO94" s="15" t="s">
        <v>218</v>
      </c>
      <c r="AP94" s="15">
        <v>1961</v>
      </c>
      <c r="AQ94" s="15" t="s">
        <v>219</v>
      </c>
    </row>
    <row r="95" spans="1:43" x14ac:dyDescent="0.3">
      <c r="A95" s="1">
        <v>17</v>
      </c>
      <c r="B95" s="23">
        <v>0</v>
      </c>
      <c r="C95" s="23">
        <f t="shared" si="84"/>
        <v>0</v>
      </c>
      <c r="D95" s="23">
        <f t="shared" si="106"/>
        <v>0</v>
      </c>
      <c r="E95" s="23">
        <f t="shared" si="108"/>
        <v>0</v>
      </c>
      <c r="F95" s="23">
        <f t="shared" si="72"/>
        <v>0</v>
      </c>
      <c r="G95" s="23">
        <f t="shared" si="109"/>
        <v>0</v>
      </c>
      <c r="H95" s="23">
        <f t="shared" si="107"/>
        <v>0</v>
      </c>
      <c r="I95" s="23">
        <f t="shared" si="111"/>
        <v>0</v>
      </c>
      <c r="J95" s="23">
        <f t="shared" si="81"/>
        <v>0</v>
      </c>
      <c r="K95" s="23">
        <f t="shared" si="102"/>
        <v>0</v>
      </c>
      <c r="L95" s="23">
        <f>K95+2</f>
        <v>2</v>
      </c>
      <c r="M95" s="23">
        <f t="shared" si="74"/>
        <v>2</v>
      </c>
      <c r="N95" s="23">
        <f t="shared" si="97"/>
        <v>2</v>
      </c>
      <c r="O95" s="23">
        <f t="shared" si="104"/>
        <v>2</v>
      </c>
      <c r="P95" s="23">
        <f t="shared" si="99"/>
        <v>2</v>
      </c>
      <c r="Q95" s="23">
        <f t="shared" si="105"/>
        <v>2</v>
      </c>
      <c r="R95" s="23">
        <f t="shared" si="110"/>
        <v>2</v>
      </c>
      <c r="S95" s="23">
        <f>R95+10</f>
        <v>12</v>
      </c>
      <c r="T95" s="23">
        <f t="shared" si="93"/>
        <v>12</v>
      </c>
      <c r="U95" s="23">
        <f t="shared" si="100"/>
        <v>12</v>
      </c>
      <c r="V95" s="23">
        <f t="shared" si="114"/>
        <v>12</v>
      </c>
      <c r="W95" s="23">
        <f t="shared" si="82"/>
        <v>12</v>
      </c>
      <c r="X95" s="23">
        <f t="shared" si="101"/>
        <v>12</v>
      </c>
      <c r="Y95" s="23">
        <f t="shared" si="94"/>
        <v>12</v>
      </c>
      <c r="Z95" s="23">
        <f>Y95+5</f>
        <v>17</v>
      </c>
      <c r="AA95" s="23">
        <f t="shared" si="112"/>
        <v>17</v>
      </c>
      <c r="AB95" s="23">
        <f t="shared" si="98"/>
        <v>17</v>
      </c>
      <c r="AC95" s="23">
        <f t="shared" si="115"/>
        <v>17</v>
      </c>
      <c r="AD95" s="23">
        <f t="shared" si="95"/>
        <v>17</v>
      </c>
      <c r="AE95" s="23">
        <f>AD95+0</f>
        <v>17</v>
      </c>
      <c r="AF95" s="23">
        <f t="shared" si="83"/>
        <v>17</v>
      </c>
      <c r="AG95" s="23">
        <f t="shared" si="113"/>
        <v>17</v>
      </c>
      <c r="AH95" s="23">
        <f>AG95+0</f>
        <v>17</v>
      </c>
      <c r="AI95" s="23">
        <f t="shared" ref="AI95:AJ114" si="116">AH95+0</f>
        <v>17</v>
      </c>
      <c r="AJ95" s="23">
        <f t="shared" si="116"/>
        <v>17</v>
      </c>
      <c r="AK95" s="23">
        <f t="shared" si="96"/>
        <v>17</v>
      </c>
      <c r="AL95" s="68">
        <v>750</v>
      </c>
      <c r="AM95" s="4">
        <v>3</v>
      </c>
      <c r="AN95" s="15" t="s">
        <v>212</v>
      </c>
      <c r="AO95" s="15" t="s">
        <v>218</v>
      </c>
      <c r="AP95" s="15">
        <v>1961</v>
      </c>
      <c r="AQ95" s="15" t="s">
        <v>219</v>
      </c>
    </row>
    <row r="96" spans="1:43" x14ac:dyDescent="0.3">
      <c r="A96" s="1">
        <v>22</v>
      </c>
      <c r="B96" s="23">
        <v>0</v>
      </c>
      <c r="C96" s="23">
        <f t="shared" si="84"/>
        <v>0</v>
      </c>
      <c r="D96" s="23">
        <f t="shared" si="106"/>
        <v>0</v>
      </c>
      <c r="E96" s="23">
        <f t="shared" si="108"/>
        <v>0</v>
      </c>
      <c r="F96" s="23">
        <f t="shared" si="72"/>
        <v>0</v>
      </c>
      <c r="G96" s="23">
        <f t="shared" si="109"/>
        <v>0</v>
      </c>
      <c r="H96" s="23">
        <f t="shared" si="107"/>
        <v>0</v>
      </c>
      <c r="I96" s="23">
        <f t="shared" si="111"/>
        <v>0</v>
      </c>
      <c r="J96" s="23">
        <f t="shared" si="81"/>
        <v>0</v>
      </c>
      <c r="K96" s="23">
        <f t="shared" si="102"/>
        <v>0</v>
      </c>
      <c r="L96" s="23">
        <f>K96+8</f>
        <v>8</v>
      </c>
      <c r="M96" s="23">
        <f t="shared" si="74"/>
        <v>8</v>
      </c>
      <c r="N96" s="23">
        <f t="shared" si="97"/>
        <v>8</v>
      </c>
      <c r="O96" s="23">
        <f t="shared" si="104"/>
        <v>8</v>
      </c>
      <c r="P96" s="23">
        <f t="shared" si="99"/>
        <v>8</v>
      </c>
      <c r="Q96" s="23">
        <f t="shared" si="105"/>
        <v>8</v>
      </c>
      <c r="R96" s="23">
        <f t="shared" si="110"/>
        <v>8</v>
      </c>
      <c r="S96" s="23">
        <f>R96+5</f>
        <v>13</v>
      </c>
      <c r="T96" s="23">
        <f t="shared" si="93"/>
        <v>13</v>
      </c>
      <c r="U96" s="23">
        <f t="shared" si="100"/>
        <v>13</v>
      </c>
      <c r="V96" s="23">
        <f t="shared" si="114"/>
        <v>13</v>
      </c>
      <c r="W96" s="23">
        <f t="shared" si="82"/>
        <v>13</v>
      </c>
      <c r="X96" s="23">
        <f t="shared" si="101"/>
        <v>13</v>
      </c>
      <c r="Y96" s="23">
        <f t="shared" si="94"/>
        <v>13</v>
      </c>
      <c r="Z96" s="23">
        <f>Y96+9</f>
        <v>22</v>
      </c>
      <c r="AA96" s="23">
        <f t="shared" si="112"/>
        <v>22</v>
      </c>
      <c r="AB96" s="23">
        <f t="shared" si="98"/>
        <v>22</v>
      </c>
      <c r="AC96" s="23">
        <f t="shared" si="115"/>
        <v>22</v>
      </c>
      <c r="AD96" s="23">
        <f t="shared" si="95"/>
        <v>22</v>
      </c>
      <c r="AE96" s="23">
        <f>AD96+0</f>
        <v>22</v>
      </c>
      <c r="AF96" s="23">
        <f t="shared" si="83"/>
        <v>22</v>
      </c>
      <c r="AG96" s="23">
        <f t="shared" si="113"/>
        <v>22</v>
      </c>
      <c r="AH96" s="23">
        <f>AG96+0</f>
        <v>22</v>
      </c>
      <c r="AI96" s="23">
        <f t="shared" si="116"/>
        <v>22</v>
      </c>
      <c r="AJ96" s="23">
        <f t="shared" si="116"/>
        <v>22</v>
      </c>
      <c r="AK96" s="23">
        <f t="shared" si="96"/>
        <v>22</v>
      </c>
      <c r="AL96" s="68">
        <v>762</v>
      </c>
      <c r="AM96" s="4">
        <v>3</v>
      </c>
      <c r="AN96" s="15" t="s">
        <v>214</v>
      </c>
      <c r="AO96" s="15" t="s">
        <v>218</v>
      </c>
      <c r="AP96" s="15">
        <v>1961</v>
      </c>
      <c r="AQ96" s="15" t="s">
        <v>219</v>
      </c>
    </row>
    <row r="97" spans="1:43" x14ac:dyDescent="0.3">
      <c r="A97" s="1">
        <v>18</v>
      </c>
      <c r="B97" s="23">
        <v>0</v>
      </c>
      <c r="C97" s="23">
        <f t="shared" si="84"/>
        <v>0</v>
      </c>
      <c r="D97" s="23">
        <f t="shared" si="106"/>
        <v>0</v>
      </c>
      <c r="E97" s="23">
        <f t="shared" si="108"/>
        <v>0</v>
      </c>
      <c r="F97" s="23">
        <f t="shared" si="72"/>
        <v>0</v>
      </c>
      <c r="G97" s="23">
        <f t="shared" si="109"/>
        <v>0</v>
      </c>
      <c r="H97" s="23">
        <f t="shared" si="107"/>
        <v>0</v>
      </c>
      <c r="I97" s="23">
        <f t="shared" si="111"/>
        <v>0</v>
      </c>
      <c r="J97" s="23">
        <f t="shared" si="81"/>
        <v>0</v>
      </c>
      <c r="K97" s="23">
        <f t="shared" si="102"/>
        <v>0</v>
      </c>
      <c r="L97" s="23">
        <f>K97+2</f>
        <v>2</v>
      </c>
      <c r="M97" s="23">
        <f t="shared" si="74"/>
        <v>2</v>
      </c>
      <c r="N97" s="23">
        <f t="shared" si="97"/>
        <v>2</v>
      </c>
      <c r="O97" s="23">
        <f t="shared" si="104"/>
        <v>2</v>
      </c>
      <c r="P97" s="23">
        <f t="shared" si="99"/>
        <v>2</v>
      </c>
      <c r="Q97" s="23">
        <f t="shared" si="105"/>
        <v>2</v>
      </c>
      <c r="R97" s="23">
        <f t="shared" si="110"/>
        <v>2</v>
      </c>
      <c r="S97" s="23">
        <f>R97+2</f>
        <v>4</v>
      </c>
      <c r="T97" s="23">
        <f t="shared" si="93"/>
        <v>4</v>
      </c>
      <c r="U97" s="23">
        <f t="shared" si="100"/>
        <v>4</v>
      </c>
      <c r="V97" s="23">
        <f t="shared" si="114"/>
        <v>4</v>
      </c>
      <c r="W97" s="23">
        <f t="shared" si="82"/>
        <v>4</v>
      </c>
      <c r="X97" s="23">
        <f t="shared" si="101"/>
        <v>4</v>
      </c>
      <c r="Y97" s="23">
        <f t="shared" si="94"/>
        <v>4</v>
      </c>
      <c r="Z97" s="23">
        <f t="shared" ref="Z97:Z128" si="117">Y97+0</f>
        <v>4</v>
      </c>
      <c r="AA97" s="23">
        <f t="shared" si="112"/>
        <v>4</v>
      </c>
      <c r="AB97" s="23">
        <f t="shared" si="98"/>
        <v>4</v>
      </c>
      <c r="AC97" s="23">
        <f t="shared" si="115"/>
        <v>4</v>
      </c>
      <c r="AD97" s="23">
        <f t="shared" si="95"/>
        <v>4</v>
      </c>
      <c r="AE97" s="23">
        <f>AD97+7</f>
        <v>11</v>
      </c>
      <c r="AF97" s="23">
        <f t="shared" si="83"/>
        <v>11</v>
      </c>
      <c r="AG97" s="23">
        <f>AF97+2</f>
        <v>13</v>
      </c>
      <c r="AH97" s="23">
        <f>AG97+5</f>
        <v>18</v>
      </c>
      <c r="AI97" s="23">
        <f t="shared" si="116"/>
        <v>18</v>
      </c>
      <c r="AJ97" s="23">
        <f t="shared" si="116"/>
        <v>18</v>
      </c>
      <c r="AK97" s="23">
        <f t="shared" si="96"/>
        <v>18</v>
      </c>
      <c r="AL97" s="68">
        <v>762</v>
      </c>
      <c r="AM97" s="4">
        <v>3</v>
      </c>
      <c r="AN97" s="15" t="s">
        <v>216</v>
      </c>
      <c r="AO97" s="15" t="s">
        <v>218</v>
      </c>
      <c r="AP97" s="15">
        <v>1961</v>
      </c>
      <c r="AQ97" s="15" t="s">
        <v>219</v>
      </c>
    </row>
    <row r="98" spans="1:43" x14ac:dyDescent="0.3">
      <c r="A98" s="1">
        <v>62</v>
      </c>
      <c r="B98" s="23">
        <v>0</v>
      </c>
      <c r="C98" s="23">
        <f t="shared" si="84"/>
        <v>0</v>
      </c>
      <c r="D98" s="23">
        <f>C98+19</f>
        <v>19</v>
      </c>
      <c r="E98" s="23">
        <f t="shared" si="108"/>
        <v>19</v>
      </c>
      <c r="F98" s="23">
        <f>E98+11</f>
        <v>30</v>
      </c>
      <c r="G98" s="23">
        <f t="shared" si="109"/>
        <v>30</v>
      </c>
      <c r="H98" s="23">
        <f t="shared" si="107"/>
        <v>30</v>
      </c>
      <c r="I98" s="23">
        <f t="shared" si="111"/>
        <v>30</v>
      </c>
      <c r="J98" s="23">
        <f>I98+10</f>
        <v>40</v>
      </c>
      <c r="K98" s="23">
        <f t="shared" si="102"/>
        <v>40</v>
      </c>
      <c r="L98" s="23">
        <f t="shared" ref="L98:L126" si="118">K98+0</f>
        <v>40</v>
      </c>
      <c r="M98" s="23">
        <f>L98+6</f>
        <v>46</v>
      </c>
      <c r="N98" s="23">
        <f t="shared" si="97"/>
        <v>46</v>
      </c>
      <c r="O98" s="23">
        <f t="shared" si="104"/>
        <v>46</v>
      </c>
      <c r="P98" s="23">
        <f t="shared" si="99"/>
        <v>46</v>
      </c>
      <c r="Q98" s="23">
        <f t="shared" si="105"/>
        <v>46</v>
      </c>
      <c r="R98" s="23">
        <f t="shared" si="110"/>
        <v>46</v>
      </c>
      <c r="S98" s="23">
        <f t="shared" ref="S98:S128" si="119">R98+0</f>
        <v>46</v>
      </c>
      <c r="T98" s="23">
        <f t="shared" si="93"/>
        <v>46</v>
      </c>
      <c r="U98" s="23">
        <f t="shared" si="100"/>
        <v>46</v>
      </c>
      <c r="V98" s="23">
        <f t="shared" si="114"/>
        <v>46</v>
      </c>
      <c r="W98" s="23">
        <f>V98+8</f>
        <v>54</v>
      </c>
      <c r="X98" s="23">
        <f t="shared" si="101"/>
        <v>54</v>
      </c>
      <c r="Y98" s="23">
        <f t="shared" si="94"/>
        <v>54</v>
      </c>
      <c r="Z98" s="23">
        <f t="shared" si="117"/>
        <v>54</v>
      </c>
      <c r="AA98" s="23">
        <f t="shared" si="112"/>
        <v>54</v>
      </c>
      <c r="AB98" s="23">
        <f t="shared" si="98"/>
        <v>54</v>
      </c>
      <c r="AC98" s="23">
        <f t="shared" si="115"/>
        <v>54</v>
      </c>
      <c r="AD98" s="23">
        <f t="shared" si="95"/>
        <v>54</v>
      </c>
      <c r="AE98" s="23">
        <f t="shared" ref="AE98:AE127" si="120">AD98+0</f>
        <v>54</v>
      </c>
      <c r="AF98" s="23">
        <f>AE98+8</f>
        <v>62</v>
      </c>
      <c r="AG98" s="23">
        <f t="shared" ref="AG98:AH117" si="121">AF98+0</f>
        <v>62</v>
      </c>
      <c r="AH98" s="23">
        <f t="shared" si="121"/>
        <v>62</v>
      </c>
      <c r="AI98" s="23">
        <f t="shared" si="116"/>
        <v>62</v>
      </c>
      <c r="AJ98" s="23">
        <f t="shared" si="116"/>
        <v>62</v>
      </c>
      <c r="AK98" s="23">
        <f t="shared" si="96"/>
        <v>62</v>
      </c>
      <c r="AL98" s="81">
        <v>120</v>
      </c>
      <c r="AM98" s="4">
        <v>1</v>
      </c>
      <c r="AN98" s="15" t="s">
        <v>51</v>
      </c>
      <c r="AO98" s="15" t="s">
        <v>34</v>
      </c>
      <c r="AP98" s="15">
        <v>1997</v>
      </c>
      <c r="AQ98" s="15" t="s">
        <v>35</v>
      </c>
    </row>
    <row r="99" spans="1:43" x14ac:dyDescent="0.3">
      <c r="A99" s="1">
        <v>66</v>
      </c>
      <c r="B99" s="23">
        <v>0</v>
      </c>
      <c r="C99" s="23">
        <f>B99+6</f>
        <v>6</v>
      </c>
      <c r="D99" s="23">
        <f>C99+0</f>
        <v>6</v>
      </c>
      <c r="E99" s="23">
        <f t="shared" si="108"/>
        <v>6</v>
      </c>
      <c r="F99" s="23">
        <f>E99+13</f>
        <v>19</v>
      </c>
      <c r="G99" s="23">
        <f t="shared" si="109"/>
        <v>19</v>
      </c>
      <c r="H99" s="23">
        <f t="shared" si="107"/>
        <v>19</v>
      </c>
      <c r="I99" s="23">
        <f t="shared" si="111"/>
        <v>19</v>
      </c>
      <c r="J99" s="23">
        <f>I99+5</f>
        <v>24</v>
      </c>
      <c r="K99" s="23">
        <f t="shared" si="102"/>
        <v>24</v>
      </c>
      <c r="L99" s="23">
        <f t="shared" si="118"/>
        <v>24</v>
      </c>
      <c r="M99" s="23">
        <f>L99+7</f>
        <v>31</v>
      </c>
      <c r="N99" s="23">
        <f t="shared" si="97"/>
        <v>31</v>
      </c>
      <c r="O99" s="23">
        <f t="shared" si="104"/>
        <v>31</v>
      </c>
      <c r="P99" s="23">
        <f t="shared" si="99"/>
        <v>31</v>
      </c>
      <c r="Q99" s="23">
        <f t="shared" si="105"/>
        <v>31</v>
      </c>
      <c r="R99" s="23">
        <f t="shared" si="110"/>
        <v>31</v>
      </c>
      <c r="S99" s="23">
        <f t="shared" si="119"/>
        <v>31</v>
      </c>
      <c r="T99" s="23">
        <f t="shared" si="93"/>
        <v>31</v>
      </c>
      <c r="U99" s="23">
        <f t="shared" si="100"/>
        <v>31</v>
      </c>
      <c r="V99" s="23">
        <f t="shared" si="114"/>
        <v>31</v>
      </c>
      <c r="W99" s="23">
        <f>V99+20</f>
        <v>51</v>
      </c>
      <c r="X99" s="23">
        <f t="shared" si="101"/>
        <v>51</v>
      </c>
      <c r="Y99" s="23">
        <f t="shared" si="94"/>
        <v>51</v>
      </c>
      <c r="Z99" s="23">
        <f t="shared" si="117"/>
        <v>51</v>
      </c>
      <c r="AA99" s="23">
        <f t="shared" si="112"/>
        <v>51</v>
      </c>
      <c r="AB99" s="23">
        <f t="shared" si="98"/>
        <v>51</v>
      </c>
      <c r="AC99" s="23">
        <f t="shared" si="115"/>
        <v>51</v>
      </c>
      <c r="AD99" s="23">
        <f t="shared" si="95"/>
        <v>51</v>
      </c>
      <c r="AE99" s="23">
        <f t="shared" si="120"/>
        <v>51</v>
      </c>
      <c r="AF99" s="23">
        <f>AE99+15</f>
        <v>66</v>
      </c>
      <c r="AG99" s="23">
        <f t="shared" si="121"/>
        <v>66</v>
      </c>
      <c r="AH99" s="23">
        <f t="shared" si="121"/>
        <v>66</v>
      </c>
      <c r="AI99" s="23">
        <f t="shared" si="116"/>
        <v>66</v>
      </c>
      <c r="AJ99" s="23">
        <f t="shared" si="116"/>
        <v>66</v>
      </c>
      <c r="AK99" s="23">
        <f t="shared" si="96"/>
        <v>66</v>
      </c>
      <c r="AL99" s="81">
        <v>60</v>
      </c>
      <c r="AM99" s="4">
        <v>1</v>
      </c>
      <c r="AN99" s="15" t="s">
        <v>144</v>
      </c>
      <c r="AO99" s="15" t="s">
        <v>34</v>
      </c>
      <c r="AP99" s="15">
        <v>1997</v>
      </c>
      <c r="AQ99" s="15" t="s">
        <v>35</v>
      </c>
    </row>
    <row r="100" spans="1:43" x14ac:dyDescent="0.3">
      <c r="A100" s="1">
        <v>62</v>
      </c>
      <c r="B100" s="23">
        <v>0</v>
      </c>
      <c r="C100" s="23">
        <f t="shared" ref="C100:C133" si="122">B100+0</f>
        <v>0</v>
      </c>
      <c r="D100" s="23">
        <f>C100+1</f>
        <v>1</v>
      </c>
      <c r="E100" s="23">
        <f t="shared" si="108"/>
        <v>1</v>
      </c>
      <c r="F100" s="23">
        <f>E100+23</f>
        <v>24</v>
      </c>
      <c r="G100" s="23">
        <f t="shared" si="109"/>
        <v>24</v>
      </c>
      <c r="H100" s="23">
        <f t="shared" si="107"/>
        <v>24</v>
      </c>
      <c r="I100" s="23">
        <f t="shared" si="111"/>
        <v>24</v>
      </c>
      <c r="J100" s="23">
        <f>I100+11</f>
        <v>35</v>
      </c>
      <c r="K100" s="23">
        <f t="shared" si="102"/>
        <v>35</v>
      </c>
      <c r="L100" s="23">
        <f t="shared" si="118"/>
        <v>35</v>
      </c>
      <c r="M100" s="23">
        <f>L100+5</f>
        <v>40</v>
      </c>
      <c r="N100" s="23">
        <f t="shared" si="97"/>
        <v>40</v>
      </c>
      <c r="O100" s="23">
        <f t="shared" si="104"/>
        <v>40</v>
      </c>
      <c r="P100" s="23">
        <f t="shared" si="99"/>
        <v>40</v>
      </c>
      <c r="Q100" s="23">
        <f t="shared" si="105"/>
        <v>40</v>
      </c>
      <c r="R100" s="23">
        <f t="shared" si="110"/>
        <v>40</v>
      </c>
      <c r="S100" s="23">
        <f t="shared" si="119"/>
        <v>40</v>
      </c>
      <c r="T100" s="23">
        <f t="shared" ref="T100:T131" si="123">S100+0</f>
        <v>40</v>
      </c>
      <c r="U100" s="23">
        <f t="shared" si="100"/>
        <v>40</v>
      </c>
      <c r="V100" s="23">
        <f t="shared" si="114"/>
        <v>40</v>
      </c>
      <c r="W100" s="23">
        <f>V100+16</f>
        <v>56</v>
      </c>
      <c r="X100" s="23">
        <f t="shared" si="101"/>
        <v>56</v>
      </c>
      <c r="Y100" s="23">
        <f t="shared" ref="Y100:Y126" si="124">X100+0</f>
        <v>56</v>
      </c>
      <c r="Z100" s="23">
        <f t="shared" si="117"/>
        <v>56</v>
      </c>
      <c r="AA100" s="23">
        <f t="shared" si="112"/>
        <v>56</v>
      </c>
      <c r="AB100" s="23">
        <f t="shared" si="98"/>
        <v>56</v>
      </c>
      <c r="AC100" s="23">
        <f t="shared" si="115"/>
        <v>56</v>
      </c>
      <c r="AD100" s="23">
        <f t="shared" ref="AD100:AD131" si="125">AC100+0</f>
        <v>56</v>
      </c>
      <c r="AE100" s="23">
        <f t="shared" si="120"/>
        <v>56</v>
      </c>
      <c r="AF100" s="23">
        <f>AE100+6</f>
        <v>62</v>
      </c>
      <c r="AG100" s="23">
        <f t="shared" si="121"/>
        <v>62</v>
      </c>
      <c r="AH100" s="23">
        <f t="shared" si="121"/>
        <v>62</v>
      </c>
      <c r="AI100" s="23">
        <f t="shared" si="116"/>
        <v>62</v>
      </c>
      <c r="AJ100" s="23">
        <f t="shared" si="116"/>
        <v>62</v>
      </c>
      <c r="AK100" s="23">
        <f t="shared" ref="AK100:AK131" si="126">AJ100+0</f>
        <v>62</v>
      </c>
      <c r="AL100" s="81">
        <v>120</v>
      </c>
      <c r="AM100" s="4">
        <v>2</v>
      </c>
      <c r="AN100" s="15" t="s">
        <v>51</v>
      </c>
      <c r="AO100" s="15" t="s">
        <v>34</v>
      </c>
      <c r="AP100" s="15">
        <v>1997</v>
      </c>
      <c r="AQ100" s="15" t="s">
        <v>35</v>
      </c>
    </row>
    <row r="101" spans="1:43" x14ac:dyDescent="0.3">
      <c r="A101" s="1">
        <v>59</v>
      </c>
      <c r="B101" s="23">
        <v>0</v>
      </c>
      <c r="C101" s="23">
        <f t="shared" si="122"/>
        <v>0</v>
      </c>
      <c r="D101" s="23">
        <f>C101+0</f>
        <v>0</v>
      </c>
      <c r="E101" s="23">
        <f t="shared" si="108"/>
        <v>0</v>
      </c>
      <c r="F101" s="23">
        <f>E101+22</f>
        <v>22</v>
      </c>
      <c r="G101" s="23">
        <f t="shared" si="109"/>
        <v>22</v>
      </c>
      <c r="H101" s="23">
        <f t="shared" si="107"/>
        <v>22</v>
      </c>
      <c r="I101" s="23">
        <f t="shared" si="111"/>
        <v>22</v>
      </c>
      <c r="J101" s="23">
        <f>I101+13</f>
        <v>35</v>
      </c>
      <c r="K101" s="23">
        <f t="shared" si="102"/>
        <v>35</v>
      </c>
      <c r="L101" s="23">
        <f t="shared" si="118"/>
        <v>35</v>
      </c>
      <c r="M101" s="23">
        <f>L101+8</f>
        <v>43</v>
      </c>
      <c r="N101" s="23">
        <f t="shared" si="97"/>
        <v>43</v>
      </c>
      <c r="O101" s="23">
        <f t="shared" si="104"/>
        <v>43</v>
      </c>
      <c r="P101" s="23">
        <f t="shared" si="99"/>
        <v>43</v>
      </c>
      <c r="Q101" s="23">
        <f t="shared" si="105"/>
        <v>43</v>
      </c>
      <c r="R101" s="23">
        <f t="shared" si="110"/>
        <v>43</v>
      </c>
      <c r="S101" s="23">
        <f t="shared" si="119"/>
        <v>43</v>
      </c>
      <c r="T101" s="23">
        <f t="shared" si="123"/>
        <v>43</v>
      </c>
      <c r="U101" s="23">
        <f t="shared" si="100"/>
        <v>43</v>
      </c>
      <c r="V101" s="23">
        <f t="shared" si="114"/>
        <v>43</v>
      </c>
      <c r="W101" s="23">
        <f>V101+11</f>
        <v>54</v>
      </c>
      <c r="X101" s="23">
        <f t="shared" si="101"/>
        <v>54</v>
      </c>
      <c r="Y101" s="23">
        <f t="shared" si="124"/>
        <v>54</v>
      </c>
      <c r="Z101" s="23">
        <f t="shared" si="117"/>
        <v>54</v>
      </c>
      <c r="AA101" s="23">
        <f t="shared" si="112"/>
        <v>54</v>
      </c>
      <c r="AB101" s="23">
        <f t="shared" si="98"/>
        <v>54</v>
      </c>
      <c r="AC101" s="23">
        <f t="shared" si="115"/>
        <v>54</v>
      </c>
      <c r="AD101" s="23">
        <f t="shared" si="125"/>
        <v>54</v>
      </c>
      <c r="AE101" s="23">
        <f t="shared" si="120"/>
        <v>54</v>
      </c>
      <c r="AF101" s="23">
        <f>AE101+5</f>
        <v>59</v>
      </c>
      <c r="AG101" s="23">
        <f t="shared" si="121"/>
        <v>59</v>
      </c>
      <c r="AH101" s="23">
        <f t="shared" si="121"/>
        <v>59</v>
      </c>
      <c r="AI101" s="23">
        <f t="shared" si="116"/>
        <v>59</v>
      </c>
      <c r="AJ101" s="23">
        <f t="shared" si="116"/>
        <v>59</v>
      </c>
      <c r="AK101" s="23">
        <f t="shared" si="126"/>
        <v>59</v>
      </c>
      <c r="AL101" s="81">
        <v>60</v>
      </c>
      <c r="AM101" s="4">
        <v>2</v>
      </c>
      <c r="AN101" s="15" t="s">
        <v>144</v>
      </c>
      <c r="AO101" s="15" t="s">
        <v>34</v>
      </c>
      <c r="AP101" s="15">
        <v>1997</v>
      </c>
      <c r="AQ101" s="15" t="s">
        <v>35</v>
      </c>
    </row>
    <row r="102" spans="1:43" x14ac:dyDescent="0.3">
      <c r="A102" s="1">
        <v>61</v>
      </c>
      <c r="B102" s="23">
        <v>0</v>
      </c>
      <c r="C102" s="23">
        <f t="shared" si="122"/>
        <v>0</v>
      </c>
      <c r="D102" s="23">
        <f>C102+4</f>
        <v>4</v>
      </c>
      <c r="E102" s="23">
        <f t="shared" si="108"/>
        <v>4</v>
      </c>
      <c r="F102" s="23">
        <f>E102+6</f>
        <v>10</v>
      </c>
      <c r="G102" s="23">
        <f t="shared" si="109"/>
        <v>10</v>
      </c>
      <c r="H102" s="23">
        <f t="shared" si="107"/>
        <v>10</v>
      </c>
      <c r="I102" s="23">
        <f t="shared" si="111"/>
        <v>10</v>
      </c>
      <c r="J102" s="23">
        <f>I102+19</f>
        <v>29</v>
      </c>
      <c r="K102" s="23">
        <f t="shared" si="102"/>
        <v>29</v>
      </c>
      <c r="L102" s="23">
        <f t="shared" si="118"/>
        <v>29</v>
      </c>
      <c r="M102" s="23">
        <f>L102+13</f>
        <v>42</v>
      </c>
      <c r="N102" s="23">
        <f t="shared" si="97"/>
        <v>42</v>
      </c>
      <c r="O102" s="23">
        <f t="shared" si="104"/>
        <v>42</v>
      </c>
      <c r="P102" s="23">
        <f t="shared" si="99"/>
        <v>42</v>
      </c>
      <c r="Q102" s="23">
        <f t="shared" si="105"/>
        <v>42</v>
      </c>
      <c r="R102" s="23">
        <f t="shared" si="110"/>
        <v>42</v>
      </c>
      <c r="S102" s="23">
        <f t="shared" si="119"/>
        <v>42</v>
      </c>
      <c r="T102" s="23">
        <f t="shared" si="123"/>
        <v>42</v>
      </c>
      <c r="U102" s="23">
        <f t="shared" si="100"/>
        <v>42</v>
      </c>
      <c r="V102" s="23">
        <f t="shared" si="114"/>
        <v>42</v>
      </c>
      <c r="W102" s="23">
        <f>V102+14</f>
        <v>56</v>
      </c>
      <c r="X102" s="23">
        <f t="shared" si="101"/>
        <v>56</v>
      </c>
      <c r="Y102" s="23">
        <f t="shared" si="124"/>
        <v>56</v>
      </c>
      <c r="Z102" s="23">
        <f t="shared" si="117"/>
        <v>56</v>
      </c>
      <c r="AA102" s="23">
        <f t="shared" si="112"/>
        <v>56</v>
      </c>
      <c r="AB102" s="23">
        <f t="shared" si="98"/>
        <v>56</v>
      </c>
      <c r="AC102" s="23">
        <f t="shared" si="115"/>
        <v>56</v>
      </c>
      <c r="AD102" s="23">
        <f t="shared" si="125"/>
        <v>56</v>
      </c>
      <c r="AE102" s="23">
        <f t="shared" si="120"/>
        <v>56</v>
      </c>
      <c r="AF102" s="23">
        <f>AE102+5</f>
        <v>61</v>
      </c>
      <c r="AG102" s="23">
        <f t="shared" si="121"/>
        <v>61</v>
      </c>
      <c r="AH102" s="23">
        <f t="shared" si="121"/>
        <v>61</v>
      </c>
      <c r="AI102" s="23">
        <f t="shared" si="116"/>
        <v>61</v>
      </c>
      <c r="AJ102" s="23">
        <f t="shared" si="116"/>
        <v>61</v>
      </c>
      <c r="AK102" s="23">
        <f t="shared" si="126"/>
        <v>61</v>
      </c>
      <c r="AL102" s="81">
        <v>120</v>
      </c>
      <c r="AM102" s="4">
        <v>3</v>
      </c>
      <c r="AN102" s="15" t="s">
        <v>51</v>
      </c>
      <c r="AO102" s="15" t="s">
        <v>34</v>
      </c>
      <c r="AP102" s="15">
        <v>1997</v>
      </c>
      <c r="AQ102" s="15" t="s">
        <v>35</v>
      </c>
    </row>
    <row r="103" spans="1:43" x14ac:dyDescent="0.3">
      <c r="A103" s="1">
        <v>52</v>
      </c>
      <c r="B103" s="23">
        <v>0</v>
      </c>
      <c r="C103" s="23">
        <f t="shared" si="122"/>
        <v>0</v>
      </c>
      <c r="D103" s="23">
        <f>C103+2</f>
        <v>2</v>
      </c>
      <c r="E103" s="23">
        <f t="shared" si="108"/>
        <v>2</v>
      </c>
      <c r="F103" s="23">
        <f>E103+2</f>
        <v>4</v>
      </c>
      <c r="G103" s="23">
        <f t="shared" si="109"/>
        <v>4</v>
      </c>
      <c r="H103" s="23">
        <f t="shared" si="107"/>
        <v>4</v>
      </c>
      <c r="I103" s="23">
        <f t="shared" si="111"/>
        <v>4</v>
      </c>
      <c r="J103" s="23">
        <f>I103+8</f>
        <v>12</v>
      </c>
      <c r="K103" s="23">
        <f t="shared" si="102"/>
        <v>12</v>
      </c>
      <c r="L103" s="23">
        <f t="shared" si="118"/>
        <v>12</v>
      </c>
      <c r="M103" s="23">
        <f>L103+16</f>
        <v>28</v>
      </c>
      <c r="N103" s="23">
        <f t="shared" si="97"/>
        <v>28</v>
      </c>
      <c r="O103" s="23">
        <f t="shared" si="104"/>
        <v>28</v>
      </c>
      <c r="P103" s="23">
        <f t="shared" si="99"/>
        <v>28</v>
      </c>
      <c r="Q103" s="23">
        <f t="shared" si="105"/>
        <v>28</v>
      </c>
      <c r="R103" s="23">
        <f t="shared" si="110"/>
        <v>28</v>
      </c>
      <c r="S103" s="23">
        <f t="shared" si="119"/>
        <v>28</v>
      </c>
      <c r="T103" s="23">
        <f t="shared" si="123"/>
        <v>28</v>
      </c>
      <c r="U103" s="23">
        <f t="shared" si="100"/>
        <v>28</v>
      </c>
      <c r="V103" s="23">
        <f t="shared" si="114"/>
        <v>28</v>
      </c>
      <c r="W103" s="23">
        <f>V103+17</f>
        <v>45</v>
      </c>
      <c r="X103" s="23">
        <f t="shared" si="101"/>
        <v>45</v>
      </c>
      <c r="Y103" s="23">
        <f t="shared" si="124"/>
        <v>45</v>
      </c>
      <c r="Z103" s="23">
        <f t="shared" si="117"/>
        <v>45</v>
      </c>
      <c r="AA103" s="23">
        <f t="shared" si="112"/>
        <v>45</v>
      </c>
      <c r="AB103" s="23">
        <f t="shared" si="98"/>
        <v>45</v>
      </c>
      <c r="AC103" s="23">
        <f t="shared" si="115"/>
        <v>45</v>
      </c>
      <c r="AD103" s="23">
        <f t="shared" si="125"/>
        <v>45</v>
      </c>
      <c r="AE103" s="23">
        <f t="shared" si="120"/>
        <v>45</v>
      </c>
      <c r="AF103" s="23">
        <f>AE103+7</f>
        <v>52</v>
      </c>
      <c r="AG103" s="23">
        <f t="shared" si="121"/>
        <v>52</v>
      </c>
      <c r="AH103" s="23">
        <f t="shared" si="121"/>
        <v>52</v>
      </c>
      <c r="AI103" s="23">
        <f t="shared" si="116"/>
        <v>52</v>
      </c>
      <c r="AJ103" s="23">
        <f t="shared" si="116"/>
        <v>52</v>
      </c>
      <c r="AK103" s="23">
        <f t="shared" si="126"/>
        <v>52</v>
      </c>
      <c r="AL103" s="81">
        <v>60</v>
      </c>
      <c r="AM103" s="4">
        <v>3</v>
      </c>
      <c r="AN103" s="15" t="s">
        <v>144</v>
      </c>
      <c r="AO103" s="15" t="s">
        <v>34</v>
      </c>
      <c r="AP103" s="15">
        <v>1997</v>
      </c>
      <c r="AQ103" s="15" t="s">
        <v>35</v>
      </c>
    </row>
    <row r="104" spans="1:43" x14ac:dyDescent="0.3">
      <c r="A104" s="1">
        <v>8</v>
      </c>
      <c r="B104" s="23">
        <v>0</v>
      </c>
      <c r="C104" s="23">
        <f t="shared" si="122"/>
        <v>0</v>
      </c>
      <c r="D104" s="23">
        <f t="shared" ref="D104:D127" si="127">C104+0</f>
        <v>0</v>
      </c>
      <c r="E104" s="23">
        <f t="shared" si="108"/>
        <v>0</v>
      </c>
      <c r="F104" s="23">
        <f>E104+30</f>
        <v>30</v>
      </c>
      <c r="G104" s="23">
        <f t="shared" si="109"/>
        <v>30</v>
      </c>
      <c r="H104" s="23">
        <f t="shared" si="107"/>
        <v>30</v>
      </c>
      <c r="I104" s="23">
        <f t="shared" si="111"/>
        <v>30</v>
      </c>
      <c r="J104" s="23">
        <f>I104+9</f>
        <v>39</v>
      </c>
      <c r="K104" s="23">
        <f t="shared" si="102"/>
        <v>39</v>
      </c>
      <c r="L104" s="23">
        <f t="shared" si="118"/>
        <v>39</v>
      </c>
      <c r="M104" s="23">
        <f t="shared" ref="M104:M150" si="128">L104+0</f>
        <v>39</v>
      </c>
      <c r="N104" s="23">
        <f t="shared" ref="N104:N132" si="129">M104+0</f>
        <v>39</v>
      </c>
      <c r="O104" s="23">
        <f>N104+61</f>
        <v>100</v>
      </c>
      <c r="P104" s="23">
        <f t="shared" si="99"/>
        <v>100</v>
      </c>
      <c r="Q104" s="23">
        <f t="shared" si="105"/>
        <v>100</v>
      </c>
      <c r="R104" s="23">
        <f t="shared" si="110"/>
        <v>100</v>
      </c>
      <c r="S104" s="23">
        <f t="shared" si="119"/>
        <v>100</v>
      </c>
      <c r="T104" s="23">
        <f t="shared" si="123"/>
        <v>100</v>
      </c>
      <c r="U104" s="23">
        <f t="shared" si="100"/>
        <v>100</v>
      </c>
      <c r="V104" s="23">
        <f t="shared" si="114"/>
        <v>100</v>
      </c>
      <c r="W104" s="23">
        <f t="shared" ref="W104:W127" si="130">V104+0</f>
        <v>100</v>
      </c>
      <c r="X104" s="23">
        <f t="shared" si="101"/>
        <v>100</v>
      </c>
      <c r="Y104" s="23">
        <f t="shared" si="124"/>
        <v>100</v>
      </c>
      <c r="Z104" s="23">
        <f t="shared" si="117"/>
        <v>100</v>
      </c>
      <c r="AA104" s="23">
        <f t="shared" si="112"/>
        <v>100</v>
      </c>
      <c r="AB104" s="23">
        <f t="shared" ref="AB104:AB135" si="131">AA104+0</f>
        <v>100</v>
      </c>
      <c r="AC104" s="23">
        <f t="shared" si="115"/>
        <v>100</v>
      </c>
      <c r="AD104" s="23">
        <f t="shared" si="125"/>
        <v>100</v>
      </c>
      <c r="AE104" s="23">
        <f t="shared" si="120"/>
        <v>100</v>
      </c>
      <c r="AF104" s="23">
        <f t="shared" ref="AF104:AF128" si="132">AE104+0</f>
        <v>100</v>
      </c>
      <c r="AG104" s="23">
        <f t="shared" si="121"/>
        <v>100</v>
      </c>
      <c r="AH104" s="23">
        <f t="shared" si="121"/>
        <v>100</v>
      </c>
      <c r="AI104" s="23">
        <f t="shared" si="116"/>
        <v>100</v>
      </c>
      <c r="AJ104" s="23">
        <f t="shared" si="116"/>
        <v>100</v>
      </c>
      <c r="AK104" s="23">
        <f t="shared" si="126"/>
        <v>100</v>
      </c>
      <c r="AL104" s="81">
        <v>3650</v>
      </c>
      <c r="AM104" s="4">
        <v>1</v>
      </c>
      <c r="AN104" s="15" t="s">
        <v>487</v>
      </c>
      <c r="AO104" s="15" t="s">
        <v>259</v>
      </c>
      <c r="AP104" s="15">
        <v>1965</v>
      </c>
      <c r="AQ104" s="15" t="s">
        <v>486</v>
      </c>
    </row>
    <row r="105" spans="1:43" x14ac:dyDescent="0.3">
      <c r="A105" s="1">
        <v>76</v>
      </c>
      <c r="B105" s="23">
        <v>0</v>
      </c>
      <c r="C105" s="23">
        <f t="shared" si="122"/>
        <v>0</v>
      </c>
      <c r="D105" s="23">
        <f t="shared" si="127"/>
        <v>0</v>
      </c>
      <c r="E105" s="23">
        <f t="shared" si="108"/>
        <v>0</v>
      </c>
      <c r="F105" s="23">
        <f>E105+59</f>
        <v>59</v>
      </c>
      <c r="G105" s="23">
        <f t="shared" si="109"/>
        <v>59</v>
      </c>
      <c r="H105" s="23">
        <f t="shared" si="107"/>
        <v>59</v>
      </c>
      <c r="I105" s="23">
        <f t="shared" si="111"/>
        <v>59</v>
      </c>
      <c r="J105" s="23">
        <f>I105+18</f>
        <v>77</v>
      </c>
      <c r="K105" s="23">
        <f t="shared" si="102"/>
        <v>77</v>
      </c>
      <c r="L105" s="23">
        <f t="shared" si="118"/>
        <v>77</v>
      </c>
      <c r="M105" s="23">
        <f t="shared" si="128"/>
        <v>77</v>
      </c>
      <c r="N105" s="23">
        <f t="shared" si="129"/>
        <v>77</v>
      </c>
      <c r="O105" s="23">
        <f>N105+23</f>
        <v>100</v>
      </c>
      <c r="P105" s="23">
        <f t="shared" ref="P105:P136" si="133">O105+0</f>
        <v>100</v>
      </c>
      <c r="Q105" s="23">
        <f t="shared" si="105"/>
        <v>100</v>
      </c>
      <c r="R105" s="23">
        <f t="shared" si="110"/>
        <v>100</v>
      </c>
      <c r="S105" s="23">
        <f t="shared" si="119"/>
        <v>100</v>
      </c>
      <c r="T105" s="23">
        <f t="shared" si="123"/>
        <v>100</v>
      </c>
      <c r="U105" s="23">
        <f t="shared" ref="U105:U136" si="134">T105+0</f>
        <v>100</v>
      </c>
      <c r="V105" s="23">
        <f t="shared" si="114"/>
        <v>100</v>
      </c>
      <c r="W105" s="23">
        <f t="shared" si="130"/>
        <v>100</v>
      </c>
      <c r="X105" s="23">
        <f t="shared" ref="X105:X136" si="135">W105+0</f>
        <v>100</v>
      </c>
      <c r="Y105" s="23">
        <f t="shared" si="124"/>
        <v>100</v>
      </c>
      <c r="Z105" s="23">
        <f t="shared" si="117"/>
        <v>100</v>
      </c>
      <c r="AA105" s="23">
        <f t="shared" si="112"/>
        <v>100</v>
      </c>
      <c r="AB105" s="23">
        <f t="shared" si="131"/>
        <v>100</v>
      </c>
      <c r="AC105" s="23">
        <f t="shared" si="115"/>
        <v>100</v>
      </c>
      <c r="AD105" s="23">
        <f t="shared" si="125"/>
        <v>100</v>
      </c>
      <c r="AE105" s="23">
        <f t="shared" si="120"/>
        <v>100</v>
      </c>
      <c r="AF105" s="23">
        <f t="shared" si="132"/>
        <v>100</v>
      </c>
      <c r="AG105" s="23">
        <f t="shared" si="121"/>
        <v>100</v>
      </c>
      <c r="AH105" s="23">
        <f t="shared" si="121"/>
        <v>100</v>
      </c>
      <c r="AI105" s="23">
        <f t="shared" si="116"/>
        <v>100</v>
      </c>
      <c r="AJ105" s="23">
        <f t="shared" si="116"/>
        <v>100</v>
      </c>
      <c r="AK105" s="23">
        <f t="shared" si="126"/>
        <v>100</v>
      </c>
      <c r="AL105" s="81">
        <v>3650</v>
      </c>
      <c r="AM105" s="4">
        <v>1</v>
      </c>
      <c r="AN105" s="15" t="s">
        <v>490</v>
      </c>
      <c r="AO105" s="15" t="s">
        <v>259</v>
      </c>
      <c r="AP105" s="15">
        <v>1965</v>
      </c>
      <c r="AQ105" s="15" t="s">
        <v>486</v>
      </c>
    </row>
    <row r="106" spans="1:43" x14ac:dyDescent="0.3">
      <c r="A106" s="1">
        <v>91</v>
      </c>
      <c r="B106" s="23">
        <v>0</v>
      </c>
      <c r="C106" s="23">
        <f t="shared" si="122"/>
        <v>0</v>
      </c>
      <c r="D106" s="23">
        <f t="shared" si="127"/>
        <v>0</v>
      </c>
      <c r="E106" s="23">
        <f t="shared" si="108"/>
        <v>0</v>
      </c>
      <c r="F106" s="23">
        <f>E106+43</f>
        <v>43</v>
      </c>
      <c r="G106" s="23">
        <f t="shared" si="109"/>
        <v>43</v>
      </c>
      <c r="H106" s="23">
        <f t="shared" si="107"/>
        <v>43</v>
      </c>
      <c r="I106" s="23">
        <f t="shared" si="111"/>
        <v>43</v>
      </c>
      <c r="J106" s="23">
        <f>I106+8</f>
        <v>51</v>
      </c>
      <c r="K106" s="23">
        <f t="shared" ref="K106:K129" si="136">J106+0</f>
        <v>51</v>
      </c>
      <c r="L106" s="23">
        <f t="shared" si="118"/>
        <v>51</v>
      </c>
      <c r="M106" s="23">
        <f t="shared" si="128"/>
        <v>51</v>
      </c>
      <c r="N106" s="23">
        <f t="shared" si="129"/>
        <v>51</v>
      </c>
      <c r="O106" s="23">
        <f>N106+49</f>
        <v>100</v>
      </c>
      <c r="P106" s="23">
        <f t="shared" si="133"/>
        <v>100</v>
      </c>
      <c r="Q106" s="23">
        <f t="shared" si="105"/>
        <v>100</v>
      </c>
      <c r="R106" s="23">
        <f t="shared" si="110"/>
        <v>100</v>
      </c>
      <c r="S106" s="23">
        <f t="shared" si="119"/>
        <v>100</v>
      </c>
      <c r="T106" s="23">
        <f t="shared" si="123"/>
        <v>100</v>
      </c>
      <c r="U106" s="23">
        <f t="shared" si="134"/>
        <v>100</v>
      </c>
      <c r="V106" s="23">
        <f t="shared" si="114"/>
        <v>100</v>
      </c>
      <c r="W106" s="23">
        <f t="shared" si="130"/>
        <v>100</v>
      </c>
      <c r="X106" s="23">
        <f t="shared" si="135"/>
        <v>100</v>
      </c>
      <c r="Y106" s="23">
        <f t="shared" si="124"/>
        <v>100</v>
      </c>
      <c r="Z106" s="23">
        <f t="shared" si="117"/>
        <v>100</v>
      </c>
      <c r="AA106" s="23">
        <f t="shared" si="112"/>
        <v>100</v>
      </c>
      <c r="AB106" s="23">
        <f t="shared" si="131"/>
        <v>100</v>
      </c>
      <c r="AC106" s="23">
        <f t="shared" si="115"/>
        <v>100</v>
      </c>
      <c r="AD106" s="23">
        <f t="shared" si="125"/>
        <v>100</v>
      </c>
      <c r="AE106" s="23">
        <f t="shared" si="120"/>
        <v>100</v>
      </c>
      <c r="AF106" s="23">
        <f t="shared" si="132"/>
        <v>100</v>
      </c>
      <c r="AG106" s="23">
        <f t="shared" si="121"/>
        <v>100</v>
      </c>
      <c r="AH106" s="23">
        <f t="shared" si="121"/>
        <v>100</v>
      </c>
      <c r="AI106" s="23">
        <f t="shared" si="116"/>
        <v>100</v>
      </c>
      <c r="AJ106" s="23">
        <f t="shared" si="116"/>
        <v>100</v>
      </c>
      <c r="AK106" s="23">
        <f t="shared" si="126"/>
        <v>100</v>
      </c>
      <c r="AL106" s="81">
        <v>3650</v>
      </c>
      <c r="AM106" s="4">
        <v>1</v>
      </c>
      <c r="AN106" s="15" t="s">
        <v>489</v>
      </c>
      <c r="AO106" s="15" t="s">
        <v>259</v>
      </c>
      <c r="AP106" s="15">
        <v>1965</v>
      </c>
      <c r="AQ106" s="15" t="s">
        <v>486</v>
      </c>
    </row>
    <row r="107" spans="1:43" x14ac:dyDescent="0.3">
      <c r="A107" s="1">
        <v>62</v>
      </c>
      <c r="B107" s="23">
        <v>0</v>
      </c>
      <c r="C107" s="23">
        <f t="shared" si="122"/>
        <v>0</v>
      </c>
      <c r="D107" s="23">
        <f t="shared" si="127"/>
        <v>0</v>
      </c>
      <c r="E107" s="23">
        <f t="shared" si="108"/>
        <v>0</v>
      </c>
      <c r="F107" s="23">
        <f>E107+30</f>
        <v>30</v>
      </c>
      <c r="G107" s="23">
        <f t="shared" si="109"/>
        <v>30</v>
      </c>
      <c r="H107" s="23">
        <f t="shared" si="107"/>
        <v>30</v>
      </c>
      <c r="I107" s="23">
        <f t="shared" si="111"/>
        <v>30</v>
      </c>
      <c r="J107" s="23">
        <f>I107+9</f>
        <v>39</v>
      </c>
      <c r="K107" s="23">
        <f t="shared" si="136"/>
        <v>39</v>
      </c>
      <c r="L107" s="23">
        <f t="shared" si="118"/>
        <v>39</v>
      </c>
      <c r="M107" s="23">
        <f t="shared" si="128"/>
        <v>39</v>
      </c>
      <c r="N107" s="23">
        <f t="shared" si="129"/>
        <v>39</v>
      </c>
      <c r="O107" s="23">
        <f>N107+61</f>
        <v>100</v>
      </c>
      <c r="P107" s="23">
        <f t="shared" si="133"/>
        <v>100</v>
      </c>
      <c r="Q107" s="23">
        <f t="shared" si="105"/>
        <v>100</v>
      </c>
      <c r="R107" s="23">
        <f t="shared" si="110"/>
        <v>100</v>
      </c>
      <c r="S107" s="23">
        <f t="shared" si="119"/>
        <v>100</v>
      </c>
      <c r="T107" s="23">
        <f t="shared" si="123"/>
        <v>100</v>
      </c>
      <c r="U107" s="23">
        <f t="shared" si="134"/>
        <v>100</v>
      </c>
      <c r="V107" s="23">
        <f t="shared" si="114"/>
        <v>100</v>
      </c>
      <c r="W107" s="23">
        <f t="shared" si="130"/>
        <v>100</v>
      </c>
      <c r="X107" s="23">
        <f t="shared" si="135"/>
        <v>100</v>
      </c>
      <c r="Y107" s="23">
        <f t="shared" si="124"/>
        <v>100</v>
      </c>
      <c r="Z107" s="23">
        <f t="shared" si="117"/>
        <v>100</v>
      </c>
      <c r="AA107" s="23">
        <f t="shared" si="112"/>
        <v>100</v>
      </c>
      <c r="AB107" s="23">
        <f t="shared" si="131"/>
        <v>100</v>
      </c>
      <c r="AC107" s="23">
        <f t="shared" si="115"/>
        <v>100</v>
      </c>
      <c r="AD107" s="23">
        <f t="shared" si="125"/>
        <v>100</v>
      </c>
      <c r="AE107" s="23">
        <f t="shared" si="120"/>
        <v>100</v>
      </c>
      <c r="AF107" s="23">
        <f t="shared" si="132"/>
        <v>100</v>
      </c>
      <c r="AG107" s="23">
        <f t="shared" si="121"/>
        <v>100</v>
      </c>
      <c r="AH107" s="23">
        <f t="shared" si="121"/>
        <v>100</v>
      </c>
      <c r="AI107" s="23">
        <f t="shared" si="116"/>
        <v>100</v>
      </c>
      <c r="AJ107" s="23">
        <f t="shared" si="116"/>
        <v>100</v>
      </c>
      <c r="AK107" s="23">
        <f t="shared" si="126"/>
        <v>100</v>
      </c>
      <c r="AL107" s="15">
        <v>3650</v>
      </c>
      <c r="AM107" s="4">
        <v>1</v>
      </c>
      <c r="AN107" s="15" t="s">
        <v>488</v>
      </c>
      <c r="AO107" s="15" t="s">
        <v>259</v>
      </c>
      <c r="AP107" s="15">
        <v>1965</v>
      </c>
      <c r="AQ107" s="15" t="s">
        <v>486</v>
      </c>
    </row>
    <row r="108" spans="1:43" x14ac:dyDescent="0.3">
      <c r="A108" s="1">
        <v>5</v>
      </c>
      <c r="B108" s="23">
        <v>0</v>
      </c>
      <c r="C108" s="23">
        <f t="shared" si="122"/>
        <v>0</v>
      </c>
      <c r="D108" s="23">
        <f t="shared" si="127"/>
        <v>0</v>
      </c>
      <c r="E108" s="23">
        <f t="shared" si="108"/>
        <v>0</v>
      </c>
      <c r="F108" s="23">
        <f>E108+36</f>
        <v>36</v>
      </c>
      <c r="G108" s="23">
        <f t="shared" si="109"/>
        <v>36</v>
      </c>
      <c r="H108" s="23">
        <f t="shared" si="107"/>
        <v>36</v>
      </c>
      <c r="I108" s="23">
        <f t="shared" si="111"/>
        <v>36</v>
      </c>
      <c r="J108" s="23">
        <f>I108+10</f>
        <v>46</v>
      </c>
      <c r="K108" s="23">
        <f t="shared" si="136"/>
        <v>46</v>
      </c>
      <c r="L108" s="23">
        <f t="shared" si="118"/>
        <v>46</v>
      </c>
      <c r="M108" s="23">
        <f t="shared" si="128"/>
        <v>46</v>
      </c>
      <c r="N108" s="23">
        <f t="shared" si="129"/>
        <v>46</v>
      </c>
      <c r="O108" s="23">
        <f>N108+54</f>
        <v>100</v>
      </c>
      <c r="P108" s="23">
        <f t="shared" si="133"/>
        <v>100</v>
      </c>
      <c r="Q108" s="23">
        <f t="shared" si="105"/>
        <v>100</v>
      </c>
      <c r="R108" s="23">
        <f t="shared" si="110"/>
        <v>100</v>
      </c>
      <c r="S108" s="23">
        <f t="shared" si="119"/>
        <v>100</v>
      </c>
      <c r="T108" s="23">
        <f t="shared" si="123"/>
        <v>100</v>
      </c>
      <c r="U108" s="23">
        <f t="shared" si="134"/>
        <v>100</v>
      </c>
      <c r="V108" s="23">
        <f t="shared" si="114"/>
        <v>100</v>
      </c>
      <c r="W108" s="23">
        <f t="shared" si="130"/>
        <v>100</v>
      </c>
      <c r="X108" s="23">
        <f t="shared" si="135"/>
        <v>100</v>
      </c>
      <c r="Y108" s="23">
        <f t="shared" si="124"/>
        <v>100</v>
      </c>
      <c r="Z108" s="23">
        <f t="shared" si="117"/>
        <v>100</v>
      </c>
      <c r="AA108" s="23">
        <f t="shared" si="112"/>
        <v>100</v>
      </c>
      <c r="AB108" s="23">
        <f t="shared" si="131"/>
        <v>100</v>
      </c>
      <c r="AC108" s="23">
        <f t="shared" si="115"/>
        <v>100</v>
      </c>
      <c r="AD108" s="23">
        <f t="shared" si="125"/>
        <v>100</v>
      </c>
      <c r="AE108" s="23">
        <f t="shared" si="120"/>
        <v>100</v>
      </c>
      <c r="AF108" s="23">
        <f t="shared" si="132"/>
        <v>100</v>
      </c>
      <c r="AG108" s="23">
        <f t="shared" si="121"/>
        <v>100</v>
      </c>
      <c r="AH108" s="23">
        <f t="shared" si="121"/>
        <v>100</v>
      </c>
      <c r="AI108" s="23">
        <f t="shared" si="116"/>
        <v>100</v>
      </c>
      <c r="AJ108" s="23">
        <f t="shared" si="116"/>
        <v>100</v>
      </c>
      <c r="AK108" s="23">
        <f t="shared" si="126"/>
        <v>100</v>
      </c>
      <c r="AL108" s="15">
        <v>3680</v>
      </c>
      <c r="AM108" s="4">
        <v>2</v>
      </c>
      <c r="AN108" s="15" t="s">
        <v>491</v>
      </c>
      <c r="AO108" s="15" t="s">
        <v>259</v>
      </c>
      <c r="AP108" s="15">
        <v>1965</v>
      </c>
      <c r="AQ108" s="15" t="s">
        <v>486</v>
      </c>
    </row>
    <row r="109" spans="1:43" x14ac:dyDescent="0.3">
      <c r="A109" s="1">
        <v>93</v>
      </c>
      <c r="B109" s="23">
        <v>0</v>
      </c>
      <c r="C109" s="23">
        <f t="shared" si="122"/>
        <v>0</v>
      </c>
      <c r="D109" s="23">
        <f t="shared" si="127"/>
        <v>0</v>
      </c>
      <c r="E109" s="23">
        <f t="shared" si="108"/>
        <v>0</v>
      </c>
      <c r="F109" s="23">
        <f>E109+59</f>
        <v>59</v>
      </c>
      <c r="G109" s="23">
        <f t="shared" si="109"/>
        <v>59</v>
      </c>
      <c r="H109" s="23">
        <f t="shared" si="107"/>
        <v>59</v>
      </c>
      <c r="I109" s="23">
        <f t="shared" si="111"/>
        <v>59</v>
      </c>
      <c r="J109" s="23">
        <f>I109+14</f>
        <v>73</v>
      </c>
      <c r="K109" s="23">
        <f t="shared" si="136"/>
        <v>73</v>
      </c>
      <c r="L109" s="23">
        <f t="shared" si="118"/>
        <v>73</v>
      </c>
      <c r="M109" s="23">
        <f t="shared" si="128"/>
        <v>73</v>
      </c>
      <c r="N109" s="23">
        <f t="shared" si="129"/>
        <v>73</v>
      </c>
      <c r="O109" s="23">
        <f>N109+27</f>
        <v>100</v>
      </c>
      <c r="P109" s="23">
        <f t="shared" si="133"/>
        <v>100</v>
      </c>
      <c r="Q109" s="23">
        <f t="shared" ref="Q109:Q134" si="137">P109+0</f>
        <v>100</v>
      </c>
      <c r="R109" s="23">
        <f t="shared" si="110"/>
        <v>100</v>
      </c>
      <c r="S109" s="23">
        <f t="shared" si="119"/>
        <v>100</v>
      </c>
      <c r="T109" s="23">
        <f t="shared" si="123"/>
        <v>100</v>
      </c>
      <c r="U109" s="23">
        <f t="shared" si="134"/>
        <v>100</v>
      </c>
      <c r="V109" s="23">
        <f t="shared" si="114"/>
        <v>100</v>
      </c>
      <c r="W109" s="23">
        <f t="shared" si="130"/>
        <v>100</v>
      </c>
      <c r="X109" s="23">
        <f t="shared" si="135"/>
        <v>100</v>
      </c>
      <c r="Y109" s="23">
        <f t="shared" si="124"/>
        <v>100</v>
      </c>
      <c r="Z109" s="23">
        <f t="shared" si="117"/>
        <v>100</v>
      </c>
      <c r="AA109" s="23">
        <f t="shared" si="112"/>
        <v>100</v>
      </c>
      <c r="AB109" s="23">
        <f t="shared" si="131"/>
        <v>100</v>
      </c>
      <c r="AC109" s="23">
        <f t="shared" si="115"/>
        <v>100</v>
      </c>
      <c r="AD109" s="23">
        <f t="shared" si="125"/>
        <v>100</v>
      </c>
      <c r="AE109" s="23">
        <f t="shared" si="120"/>
        <v>100</v>
      </c>
      <c r="AF109" s="23">
        <f t="shared" si="132"/>
        <v>100</v>
      </c>
      <c r="AG109" s="23">
        <f t="shared" si="121"/>
        <v>100</v>
      </c>
      <c r="AH109" s="23">
        <f t="shared" si="121"/>
        <v>100</v>
      </c>
      <c r="AI109" s="23">
        <f t="shared" si="116"/>
        <v>100</v>
      </c>
      <c r="AJ109" s="23">
        <f t="shared" si="116"/>
        <v>100</v>
      </c>
      <c r="AK109" s="23">
        <f t="shared" si="126"/>
        <v>100</v>
      </c>
      <c r="AL109" s="81">
        <v>3680</v>
      </c>
      <c r="AM109" s="4">
        <v>2</v>
      </c>
      <c r="AN109" s="15" t="s">
        <v>495</v>
      </c>
      <c r="AO109" s="15" t="s">
        <v>259</v>
      </c>
      <c r="AP109" s="15">
        <v>1965</v>
      </c>
      <c r="AQ109" s="15" t="s">
        <v>486</v>
      </c>
    </row>
    <row r="110" spans="1:43" x14ac:dyDescent="0.3">
      <c r="A110" s="1">
        <v>30</v>
      </c>
      <c r="B110" s="23">
        <v>0</v>
      </c>
      <c r="C110" s="23">
        <f t="shared" si="122"/>
        <v>0</v>
      </c>
      <c r="D110" s="23">
        <f t="shared" si="127"/>
        <v>0</v>
      </c>
      <c r="E110" s="23">
        <f t="shared" si="108"/>
        <v>0</v>
      </c>
      <c r="F110" s="23">
        <f>E110+47</f>
        <v>47</v>
      </c>
      <c r="G110" s="23">
        <f t="shared" si="109"/>
        <v>47</v>
      </c>
      <c r="H110" s="23">
        <f t="shared" si="107"/>
        <v>47</v>
      </c>
      <c r="I110" s="23">
        <f t="shared" si="111"/>
        <v>47</v>
      </c>
      <c r="J110" s="23">
        <f>I110+6</f>
        <v>53</v>
      </c>
      <c r="K110" s="23">
        <f t="shared" si="136"/>
        <v>53</v>
      </c>
      <c r="L110" s="23">
        <f t="shared" si="118"/>
        <v>53</v>
      </c>
      <c r="M110" s="23">
        <f t="shared" si="128"/>
        <v>53</v>
      </c>
      <c r="N110" s="23">
        <f t="shared" si="129"/>
        <v>53</v>
      </c>
      <c r="O110" s="23">
        <f>N110+47</f>
        <v>100</v>
      </c>
      <c r="P110" s="23">
        <f t="shared" si="133"/>
        <v>100</v>
      </c>
      <c r="Q110" s="23">
        <f t="shared" si="137"/>
        <v>100</v>
      </c>
      <c r="R110" s="23">
        <f t="shared" si="110"/>
        <v>100</v>
      </c>
      <c r="S110" s="23">
        <f t="shared" si="119"/>
        <v>100</v>
      </c>
      <c r="T110" s="23">
        <f t="shared" si="123"/>
        <v>100</v>
      </c>
      <c r="U110" s="23">
        <f t="shared" si="134"/>
        <v>100</v>
      </c>
      <c r="V110" s="23">
        <f t="shared" si="114"/>
        <v>100</v>
      </c>
      <c r="W110" s="23">
        <f t="shared" si="130"/>
        <v>100</v>
      </c>
      <c r="X110" s="23">
        <f t="shared" si="135"/>
        <v>100</v>
      </c>
      <c r="Y110" s="23">
        <f t="shared" si="124"/>
        <v>100</v>
      </c>
      <c r="Z110" s="23">
        <f t="shared" si="117"/>
        <v>100</v>
      </c>
      <c r="AA110" s="23">
        <f t="shared" si="112"/>
        <v>100</v>
      </c>
      <c r="AB110" s="23">
        <f t="shared" si="131"/>
        <v>100</v>
      </c>
      <c r="AC110" s="23">
        <f t="shared" si="115"/>
        <v>100</v>
      </c>
      <c r="AD110" s="23">
        <f t="shared" si="125"/>
        <v>100</v>
      </c>
      <c r="AE110" s="23">
        <f t="shared" si="120"/>
        <v>100</v>
      </c>
      <c r="AF110" s="23">
        <f t="shared" si="132"/>
        <v>100</v>
      </c>
      <c r="AG110" s="23">
        <f t="shared" si="121"/>
        <v>100</v>
      </c>
      <c r="AH110" s="23">
        <f t="shared" si="121"/>
        <v>100</v>
      </c>
      <c r="AI110" s="23">
        <f t="shared" si="116"/>
        <v>100</v>
      </c>
      <c r="AJ110" s="23">
        <f t="shared" si="116"/>
        <v>100</v>
      </c>
      <c r="AK110" s="23">
        <f t="shared" si="126"/>
        <v>100</v>
      </c>
      <c r="AL110" s="81">
        <v>3680</v>
      </c>
      <c r="AM110" s="4">
        <v>2</v>
      </c>
      <c r="AN110" s="15" t="s">
        <v>494</v>
      </c>
      <c r="AO110" s="15" t="s">
        <v>259</v>
      </c>
      <c r="AP110" s="15">
        <v>1965</v>
      </c>
      <c r="AQ110" s="15" t="s">
        <v>486</v>
      </c>
    </row>
    <row r="111" spans="1:43" x14ac:dyDescent="0.3">
      <c r="A111" s="1">
        <v>39</v>
      </c>
      <c r="B111" s="23">
        <v>0</v>
      </c>
      <c r="C111" s="23">
        <f t="shared" si="122"/>
        <v>0</v>
      </c>
      <c r="D111" s="23">
        <f t="shared" si="127"/>
        <v>0</v>
      </c>
      <c r="E111" s="23">
        <f t="shared" si="108"/>
        <v>0</v>
      </c>
      <c r="F111" s="23">
        <f>E111+36</f>
        <v>36</v>
      </c>
      <c r="G111" s="23">
        <f t="shared" si="109"/>
        <v>36</v>
      </c>
      <c r="H111" s="23">
        <f t="shared" si="107"/>
        <v>36</v>
      </c>
      <c r="I111" s="23">
        <f t="shared" si="111"/>
        <v>36</v>
      </c>
      <c r="J111" s="23">
        <f>I111+10</f>
        <v>46</v>
      </c>
      <c r="K111" s="23">
        <f t="shared" si="136"/>
        <v>46</v>
      </c>
      <c r="L111" s="23">
        <f t="shared" si="118"/>
        <v>46</v>
      </c>
      <c r="M111" s="23">
        <f t="shared" si="128"/>
        <v>46</v>
      </c>
      <c r="N111" s="23">
        <f t="shared" si="129"/>
        <v>46</v>
      </c>
      <c r="O111" s="23">
        <f>N111+54</f>
        <v>100</v>
      </c>
      <c r="P111" s="23">
        <f t="shared" si="133"/>
        <v>100</v>
      </c>
      <c r="Q111" s="23">
        <f t="shared" si="137"/>
        <v>100</v>
      </c>
      <c r="R111" s="23">
        <f t="shared" si="110"/>
        <v>100</v>
      </c>
      <c r="S111" s="23">
        <f t="shared" si="119"/>
        <v>100</v>
      </c>
      <c r="T111" s="23">
        <f t="shared" si="123"/>
        <v>100</v>
      </c>
      <c r="U111" s="23">
        <f t="shared" si="134"/>
        <v>100</v>
      </c>
      <c r="V111" s="23">
        <f t="shared" si="114"/>
        <v>100</v>
      </c>
      <c r="W111" s="23">
        <f t="shared" si="130"/>
        <v>100</v>
      </c>
      <c r="X111" s="23">
        <f t="shared" si="135"/>
        <v>100</v>
      </c>
      <c r="Y111" s="23">
        <f t="shared" si="124"/>
        <v>100</v>
      </c>
      <c r="Z111" s="23">
        <f t="shared" si="117"/>
        <v>100</v>
      </c>
      <c r="AA111" s="23">
        <f t="shared" si="112"/>
        <v>100</v>
      </c>
      <c r="AB111" s="23">
        <f t="shared" si="131"/>
        <v>100</v>
      </c>
      <c r="AC111" s="23">
        <f t="shared" si="115"/>
        <v>100</v>
      </c>
      <c r="AD111" s="23">
        <f t="shared" si="125"/>
        <v>100</v>
      </c>
      <c r="AE111" s="23">
        <f t="shared" si="120"/>
        <v>100</v>
      </c>
      <c r="AF111" s="23">
        <f t="shared" si="132"/>
        <v>100</v>
      </c>
      <c r="AG111" s="23">
        <f t="shared" si="121"/>
        <v>100</v>
      </c>
      <c r="AH111" s="23">
        <f t="shared" si="121"/>
        <v>100</v>
      </c>
      <c r="AI111" s="23">
        <f t="shared" si="116"/>
        <v>100</v>
      </c>
      <c r="AJ111" s="23">
        <f t="shared" si="116"/>
        <v>100</v>
      </c>
      <c r="AK111" s="23">
        <f t="shared" si="126"/>
        <v>100</v>
      </c>
      <c r="AL111" s="15">
        <v>3680</v>
      </c>
      <c r="AM111" s="4">
        <v>2</v>
      </c>
      <c r="AN111" s="15" t="s">
        <v>492</v>
      </c>
      <c r="AO111" s="15" t="s">
        <v>259</v>
      </c>
      <c r="AP111" s="15">
        <v>1965</v>
      </c>
      <c r="AQ111" s="15" t="s">
        <v>486</v>
      </c>
    </row>
    <row r="112" spans="1:43" x14ac:dyDescent="0.3">
      <c r="A112" s="1">
        <v>70</v>
      </c>
      <c r="B112" s="23">
        <v>0</v>
      </c>
      <c r="C112" s="23">
        <f t="shared" si="122"/>
        <v>0</v>
      </c>
      <c r="D112" s="23">
        <f t="shared" si="127"/>
        <v>0</v>
      </c>
      <c r="E112" s="23">
        <f t="shared" si="108"/>
        <v>0</v>
      </c>
      <c r="F112" s="23">
        <f>E112+36</f>
        <v>36</v>
      </c>
      <c r="G112" s="23">
        <f t="shared" si="109"/>
        <v>36</v>
      </c>
      <c r="H112" s="23">
        <f t="shared" si="107"/>
        <v>36</v>
      </c>
      <c r="I112" s="23">
        <f t="shared" si="111"/>
        <v>36</v>
      </c>
      <c r="J112" s="23">
        <f>I112+10</f>
        <v>46</v>
      </c>
      <c r="K112" s="23">
        <f t="shared" si="136"/>
        <v>46</v>
      </c>
      <c r="L112" s="23">
        <f t="shared" si="118"/>
        <v>46</v>
      </c>
      <c r="M112" s="23">
        <f t="shared" si="128"/>
        <v>46</v>
      </c>
      <c r="N112" s="23">
        <f t="shared" si="129"/>
        <v>46</v>
      </c>
      <c r="O112" s="23">
        <f>N112+54</f>
        <v>100</v>
      </c>
      <c r="P112" s="23">
        <f t="shared" si="133"/>
        <v>100</v>
      </c>
      <c r="Q112" s="23">
        <f t="shared" si="137"/>
        <v>100</v>
      </c>
      <c r="R112" s="23">
        <f t="shared" si="110"/>
        <v>100</v>
      </c>
      <c r="S112" s="23">
        <f t="shared" si="119"/>
        <v>100</v>
      </c>
      <c r="T112" s="23">
        <f t="shared" si="123"/>
        <v>100</v>
      </c>
      <c r="U112" s="23">
        <f t="shared" si="134"/>
        <v>100</v>
      </c>
      <c r="V112" s="23">
        <f t="shared" si="114"/>
        <v>100</v>
      </c>
      <c r="W112" s="23">
        <f t="shared" si="130"/>
        <v>100</v>
      </c>
      <c r="X112" s="23">
        <f t="shared" si="135"/>
        <v>100</v>
      </c>
      <c r="Y112" s="23">
        <f t="shared" si="124"/>
        <v>100</v>
      </c>
      <c r="Z112" s="23">
        <f t="shared" si="117"/>
        <v>100</v>
      </c>
      <c r="AA112" s="23">
        <f t="shared" si="112"/>
        <v>100</v>
      </c>
      <c r="AB112" s="23">
        <f t="shared" si="131"/>
        <v>100</v>
      </c>
      <c r="AC112" s="23">
        <f t="shared" si="115"/>
        <v>100</v>
      </c>
      <c r="AD112" s="23">
        <f t="shared" si="125"/>
        <v>100</v>
      </c>
      <c r="AE112" s="23">
        <f t="shared" si="120"/>
        <v>100</v>
      </c>
      <c r="AF112" s="23">
        <f t="shared" si="132"/>
        <v>100</v>
      </c>
      <c r="AG112" s="23">
        <f t="shared" si="121"/>
        <v>100</v>
      </c>
      <c r="AH112" s="23">
        <f t="shared" si="121"/>
        <v>100</v>
      </c>
      <c r="AI112" s="23">
        <f t="shared" si="116"/>
        <v>100</v>
      </c>
      <c r="AJ112" s="23">
        <f t="shared" si="116"/>
        <v>100</v>
      </c>
      <c r="AK112" s="23">
        <f t="shared" si="126"/>
        <v>100</v>
      </c>
      <c r="AL112" s="15">
        <v>3680</v>
      </c>
      <c r="AM112" s="4">
        <v>2</v>
      </c>
      <c r="AN112" s="15" t="s">
        <v>493</v>
      </c>
      <c r="AO112" s="15" t="s">
        <v>259</v>
      </c>
      <c r="AP112" s="15">
        <v>1965</v>
      </c>
      <c r="AQ112" s="15" t="s">
        <v>486</v>
      </c>
    </row>
    <row r="113" spans="1:44" x14ac:dyDescent="0.3">
      <c r="A113" s="1">
        <v>5</v>
      </c>
      <c r="B113" s="23">
        <v>0</v>
      </c>
      <c r="C113" s="23">
        <f t="shared" si="122"/>
        <v>0</v>
      </c>
      <c r="D113" s="23">
        <f t="shared" si="127"/>
        <v>0</v>
      </c>
      <c r="E113" s="23">
        <f t="shared" si="108"/>
        <v>0</v>
      </c>
      <c r="F113" s="23">
        <f>E113+36</f>
        <v>36</v>
      </c>
      <c r="G113" s="23">
        <f t="shared" si="109"/>
        <v>36</v>
      </c>
      <c r="H113" s="23">
        <f t="shared" si="107"/>
        <v>36</v>
      </c>
      <c r="I113" s="23">
        <f t="shared" si="111"/>
        <v>36</v>
      </c>
      <c r="J113" s="23">
        <f>I113+10</f>
        <v>46</v>
      </c>
      <c r="K113" s="23">
        <f t="shared" si="136"/>
        <v>46</v>
      </c>
      <c r="L113" s="23">
        <f t="shared" si="118"/>
        <v>46</v>
      </c>
      <c r="M113" s="23">
        <f t="shared" si="128"/>
        <v>46</v>
      </c>
      <c r="N113" s="23">
        <f t="shared" si="129"/>
        <v>46</v>
      </c>
      <c r="O113" s="23">
        <f>N113+54</f>
        <v>100</v>
      </c>
      <c r="P113" s="23">
        <f t="shared" si="133"/>
        <v>100</v>
      </c>
      <c r="Q113" s="23">
        <f t="shared" si="137"/>
        <v>100</v>
      </c>
      <c r="R113" s="23">
        <f t="shared" si="110"/>
        <v>100</v>
      </c>
      <c r="S113" s="23">
        <f t="shared" si="119"/>
        <v>100</v>
      </c>
      <c r="T113" s="23">
        <f t="shared" si="123"/>
        <v>100</v>
      </c>
      <c r="U113" s="23">
        <f t="shared" si="134"/>
        <v>100</v>
      </c>
      <c r="V113" s="23">
        <f t="shared" si="114"/>
        <v>100</v>
      </c>
      <c r="W113" s="23">
        <f t="shared" si="130"/>
        <v>100</v>
      </c>
      <c r="X113" s="23">
        <f t="shared" si="135"/>
        <v>100</v>
      </c>
      <c r="Y113" s="23">
        <f t="shared" si="124"/>
        <v>100</v>
      </c>
      <c r="Z113" s="23">
        <f t="shared" si="117"/>
        <v>100</v>
      </c>
      <c r="AA113" s="23">
        <f t="shared" si="112"/>
        <v>100</v>
      </c>
      <c r="AB113" s="23">
        <f t="shared" si="131"/>
        <v>100</v>
      </c>
      <c r="AC113" s="23">
        <f t="shared" si="115"/>
        <v>100</v>
      </c>
      <c r="AD113" s="23">
        <f t="shared" si="125"/>
        <v>100</v>
      </c>
      <c r="AE113" s="23">
        <f t="shared" si="120"/>
        <v>100</v>
      </c>
      <c r="AF113" s="23">
        <f t="shared" si="132"/>
        <v>100</v>
      </c>
      <c r="AG113" s="23">
        <f t="shared" si="121"/>
        <v>100</v>
      </c>
      <c r="AH113" s="23">
        <f t="shared" si="121"/>
        <v>100</v>
      </c>
      <c r="AI113" s="23">
        <f t="shared" si="116"/>
        <v>100</v>
      </c>
      <c r="AJ113" s="23">
        <f t="shared" si="116"/>
        <v>100</v>
      </c>
      <c r="AK113" s="23">
        <f t="shared" si="126"/>
        <v>100</v>
      </c>
      <c r="AL113" s="81">
        <v>3680</v>
      </c>
      <c r="AM113" s="4">
        <v>3</v>
      </c>
      <c r="AN113" s="15" t="s">
        <v>491</v>
      </c>
      <c r="AO113" s="15" t="s">
        <v>259</v>
      </c>
      <c r="AP113" s="15">
        <v>1965</v>
      </c>
      <c r="AQ113" s="15" t="s">
        <v>486</v>
      </c>
    </row>
    <row r="114" spans="1:44" x14ac:dyDescent="0.3">
      <c r="A114" s="1">
        <v>93</v>
      </c>
      <c r="B114" s="23">
        <v>0</v>
      </c>
      <c r="C114" s="23">
        <f t="shared" si="122"/>
        <v>0</v>
      </c>
      <c r="D114" s="23">
        <f t="shared" si="127"/>
        <v>0</v>
      </c>
      <c r="E114" s="23">
        <f t="shared" si="108"/>
        <v>0</v>
      </c>
      <c r="F114" s="23">
        <f>E114+59</f>
        <v>59</v>
      </c>
      <c r="G114" s="23">
        <f t="shared" si="109"/>
        <v>59</v>
      </c>
      <c r="H114" s="23">
        <f t="shared" si="107"/>
        <v>59</v>
      </c>
      <c r="I114" s="23">
        <f t="shared" si="111"/>
        <v>59</v>
      </c>
      <c r="J114" s="23">
        <f>I114+14</f>
        <v>73</v>
      </c>
      <c r="K114" s="23">
        <f t="shared" si="136"/>
        <v>73</v>
      </c>
      <c r="L114" s="23">
        <f t="shared" si="118"/>
        <v>73</v>
      </c>
      <c r="M114" s="23">
        <f t="shared" si="128"/>
        <v>73</v>
      </c>
      <c r="N114" s="23">
        <f t="shared" si="129"/>
        <v>73</v>
      </c>
      <c r="O114" s="23">
        <f>N114+27</f>
        <v>100</v>
      </c>
      <c r="P114" s="23">
        <f t="shared" si="133"/>
        <v>100</v>
      </c>
      <c r="Q114" s="23">
        <f t="shared" si="137"/>
        <v>100</v>
      </c>
      <c r="R114" s="23">
        <f t="shared" si="110"/>
        <v>100</v>
      </c>
      <c r="S114" s="23">
        <f t="shared" si="119"/>
        <v>100</v>
      </c>
      <c r="T114" s="23">
        <f t="shared" si="123"/>
        <v>100</v>
      </c>
      <c r="U114" s="23">
        <f t="shared" si="134"/>
        <v>100</v>
      </c>
      <c r="V114" s="23">
        <f t="shared" si="114"/>
        <v>100</v>
      </c>
      <c r="W114" s="23">
        <f t="shared" si="130"/>
        <v>100</v>
      </c>
      <c r="X114" s="23">
        <f t="shared" si="135"/>
        <v>100</v>
      </c>
      <c r="Y114" s="23">
        <f t="shared" si="124"/>
        <v>100</v>
      </c>
      <c r="Z114" s="23">
        <f t="shared" si="117"/>
        <v>100</v>
      </c>
      <c r="AA114" s="23">
        <f t="shared" si="112"/>
        <v>100</v>
      </c>
      <c r="AB114" s="23">
        <f t="shared" si="131"/>
        <v>100</v>
      </c>
      <c r="AC114" s="23">
        <f t="shared" si="115"/>
        <v>100</v>
      </c>
      <c r="AD114" s="23">
        <f t="shared" si="125"/>
        <v>100</v>
      </c>
      <c r="AE114" s="23">
        <f t="shared" si="120"/>
        <v>100</v>
      </c>
      <c r="AF114" s="23">
        <f t="shared" si="132"/>
        <v>100</v>
      </c>
      <c r="AG114" s="23">
        <f t="shared" si="121"/>
        <v>100</v>
      </c>
      <c r="AH114" s="23">
        <f t="shared" si="121"/>
        <v>100</v>
      </c>
      <c r="AI114" s="23">
        <f t="shared" si="116"/>
        <v>100</v>
      </c>
      <c r="AJ114" s="23">
        <f t="shared" si="116"/>
        <v>100</v>
      </c>
      <c r="AK114" s="23">
        <f t="shared" si="126"/>
        <v>100</v>
      </c>
      <c r="AL114" s="81">
        <v>3680</v>
      </c>
      <c r="AM114" s="4">
        <v>3</v>
      </c>
      <c r="AN114" s="15" t="s">
        <v>495</v>
      </c>
      <c r="AO114" s="15" t="s">
        <v>259</v>
      </c>
      <c r="AP114" s="15">
        <v>1965</v>
      </c>
      <c r="AQ114" s="15" t="s">
        <v>486</v>
      </c>
    </row>
    <row r="115" spans="1:44" x14ac:dyDescent="0.3">
      <c r="A115" s="1">
        <v>30</v>
      </c>
      <c r="B115" s="23">
        <v>0</v>
      </c>
      <c r="C115" s="23">
        <f t="shared" si="122"/>
        <v>0</v>
      </c>
      <c r="D115" s="23">
        <f t="shared" si="127"/>
        <v>0</v>
      </c>
      <c r="E115" s="23">
        <f t="shared" si="108"/>
        <v>0</v>
      </c>
      <c r="F115" s="23">
        <f>E115+47</f>
        <v>47</v>
      </c>
      <c r="G115" s="23">
        <f t="shared" si="109"/>
        <v>47</v>
      </c>
      <c r="H115" s="23">
        <f t="shared" si="107"/>
        <v>47</v>
      </c>
      <c r="I115" s="23">
        <f t="shared" si="111"/>
        <v>47</v>
      </c>
      <c r="J115" s="23">
        <f>I115+6</f>
        <v>53</v>
      </c>
      <c r="K115" s="23">
        <f t="shared" si="136"/>
        <v>53</v>
      </c>
      <c r="L115" s="23">
        <f t="shared" si="118"/>
        <v>53</v>
      </c>
      <c r="M115" s="23">
        <f t="shared" si="128"/>
        <v>53</v>
      </c>
      <c r="N115" s="23">
        <f t="shared" si="129"/>
        <v>53</v>
      </c>
      <c r="O115" s="23">
        <f>N115+47</f>
        <v>100</v>
      </c>
      <c r="P115" s="23">
        <f t="shared" si="133"/>
        <v>100</v>
      </c>
      <c r="Q115" s="23">
        <f t="shared" si="137"/>
        <v>100</v>
      </c>
      <c r="R115" s="23">
        <f t="shared" si="110"/>
        <v>100</v>
      </c>
      <c r="S115" s="23">
        <f t="shared" si="119"/>
        <v>100</v>
      </c>
      <c r="T115" s="23">
        <f t="shared" si="123"/>
        <v>100</v>
      </c>
      <c r="U115" s="23">
        <f t="shared" si="134"/>
        <v>100</v>
      </c>
      <c r="V115" s="23">
        <f t="shared" si="114"/>
        <v>100</v>
      </c>
      <c r="W115" s="23">
        <f t="shared" si="130"/>
        <v>100</v>
      </c>
      <c r="X115" s="23">
        <f t="shared" si="135"/>
        <v>100</v>
      </c>
      <c r="Y115" s="23">
        <f t="shared" si="124"/>
        <v>100</v>
      </c>
      <c r="Z115" s="23">
        <f t="shared" si="117"/>
        <v>100</v>
      </c>
      <c r="AA115" s="23">
        <f t="shared" si="112"/>
        <v>100</v>
      </c>
      <c r="AB115" s="23">
        <f t="shared" si="131"/>
        <v>100</v>
      </c>
      <c r="AC115" s="23">
        <f t="shared" si="115"/>
        <v>100</v>
      </c>
      <c r="AD115" s="23">
        <f t="shared" si="125"/>
        <v>100</v>
      </c>
      <c r="AE115" s="23">
        <f t="shared" si="120"/>
        <v>100</v>
      </c>
      <c r="AF115" s="23">
        <f t="shared" si="132"/>
        <v>100</v>
      </c>
      <c r="AG115" s="23">
        <f t="shared" si="121"/>
        <v>100</v>
      </c>
      <c r="AH115" s="23">
        <f t="shared" si="121"/>
        <v>100</v>
      </c>
      <c r="AI115" s="23">
        <f t="shared" ref="AI115:AJ134" si="138">AH115+0</f>
        <v>100</v>
      </c>
      <c r="AJ115" s="23">
        <f t="shared" si="138"/>
        <v>100</v>
      </c>
      <c r="AK115" s="23">
        <f t="shared" si="126"/>
        <v>100</v>
      </c>
      <c r="AL115" s="81">
        <v>3680</v>
      </c>
      <c r="AM115" s="4">
        <v>3</v>
      </c>
      <c r="AN115" s="15" t="s">
        <v>494</v>
      </c>
      <c r="AO115" s="15" t="s">
        <v>259</v>
      </c>
      <c r="AP115" s="15">
        <v>1965</v>
      </c>
      <c r="AQ115" s="15" t="s">
        <v>486</v>
      </c>
    </row>
    <row r="116" spans="1:44" x14ac:dyDescent="0.3">
      <c r="A116" s="1">
        <v>39</v>
      </c>
      <c r="B116" s="23">
        <v>0</v>
      </c>
      <c r="C116" s="23">
        <f t="shared" si="122"/>
        <v>0</v>
      </c>
      <c r="D116" s="23">
        <f t="shared" si="127"/>
        <v>0</v>
      </c>
      <c r="E116" s="23">
        <f t="shared" si="108"/>
        <v>0</v>
      </c>
      <c r="F116" s="23">
        <f>E116+36</f>
        <v>36</v>
      </c>
      <c r="G116" s="23">
        <f t="shared" si="109"/>
        <v>36</v>
      </c>
      <c r="H116" s="23">
        <f t="shared" si="107"/>
        <v>36</v>
      </c>
      <c r="I116" s="23">
        <f t="shared" si="111"/>
        <v>36</v>
      </c>
      <c r="J116" s="23">
        <f>I116+10</f>
        <v>46</v>
      </c>
      <c r="K116" s="23">
        <f t="shared" si="136"/>
        <v>46</v>
      </c>
      <c r="L116" s="23">
        <f t="shared" si="118"/>
        <v>46</v>
      </c>
      <c r="M116" s="23">
        <f t="shared" si="128"/>
        <v>46</v>
      </c>
      <c r="N116" s="23">
        <f t="shared" si="129"/>
        <v>46</v>
      </c>
      <c r="O116" s="23">
        <f>N116+54</f>
        <v>100</v>
      </c>
      <c r="P116" s="23">
        <f t="shared" si="133"/>
        <v>100</v>
      </c>
      <c r="Q116" s="23">
        <f t="shared" si="137"/>
        <v>100</v>
      </c>
      <c r="R116" s="23">
        <f t="shared" si="110"/>
        <v>100</v>
      </c>
      <c r="S116" s="23">
        <f t="shared" si="119"/>
        <v>100</v>
      </c>
      <c r="T116" s="23">
        <f t="shared" si="123"/>
        <v>100</v>
      </c>
      <c r="U116" s="23">
        <f t="shared" si="134"/>
        <v>100</v>
      </c>
      <c r="V116" s="23">
        <f t="shared" si="114"/>
        <v>100</v>
      </c>
      <c r="W116" s="23">
        <f t="shared" si="130"/>
        <v>100</v>
      </c>
      <c r="X116" s="23">
        <f t="shared" si="135"/>
        <v>100</v>
      </c>
      <c r="Y116" s="23">
        <f t="shared" si="124"/>
        <v>100</v>
      </c>
      <c r="Z116" s="23">
        <f t="shared" si="117"/>
        <v>100</v>
      </c>
      <c r="AA116" s="23">
        <f t="shared" si="112"/>
        <v>100</v>
      </c>
      <c r="AB116" s="23">
        <f t="shared" si="131"/>
        <v>100</v>
      </c>
      <c r="AC116" s="23">
        <f t="shared" si="115"/>
        <v>100</v>
      </c>
      <c r="AD116" s="23">
        <f t="shared" si="125"/>
        <v>100</v>
      </c>
      <c r="AE116" s="23">
        <f t="shared" si="120"/>
        <v>100</v>
      </c>
      <c r="AF116" s="23">
        <f t="shared" si="132"/>
        <v>100</v>
      </c>
      <c r="AG116" s="23">
        <f t="shared" si="121"/>
        <v>100</v>
      </c>
      <c r="AH116" s="23">
        <f t="shared" si="121"/>
        <v>100</v>
      </c>
      <c r="AI116" s="23">
        <f t="shared" si="138"/>
        <v>100</v>
      </c>
      <c r="AJ116" s="23">
        <f t="shared" si="138"/>
        <v>100</v>
      </c>
      <c r="AK116" s="23">
        <f t="shared" si="126"/>
        <v>100</v>
      </c>
      <c r="AL116" s="81">
        <v>3680</v>
      </c>
      <c r="AM116" s="4">
        <v>3</v>
      </c>
      <c r="AN116" s="81" t="s">
        <v>492</v>
      </c>
      <c r="AO116" s="15" t="s">
        <v>259</v>
      </c>
      <c r="AP116" s="15">
        <v>1965</v>
      </c>
      <c r="AQ116" s="15" t="s">
        <v>486</v>
      </c>
    </row>
    <row r="117" spans="1:44" x14ac:dyDescent="0.3">
      <c r="A117" s="1">
        <v>70</v>
      </c>
      <c r="B117" s="23">
        <v>0</v>
      </c>
      <c r="C117" s="23">
        <f t="shared" si="122"/>
        <v>0</v>
      </c>
      <c r="D117" s="23">
        <f t="shared" si="127"/>
        <v>0</v>
      </c>
      <c r="E117" s="23">
        <f t="shared" si="108"/>
        <v>0</v>
      </c>
      <c r="F117" s="23">
        <f>E117+36</f>
        <v>36</v>
      </c>
      <c r="G117" s="23">
        <f t="shared" si="109"/>
        <v>36</v>
      </c>
      <c r="H117" s="23">
        <f t="shared" si="107"/>
        <v>36</v>
      </c>
      <c r="I117" s="23">
        <f t="shared" si="111"/>
        <v>36</v>
      </c>
      <c r="J117" s="23">
        <f>I117+10</f>
        <v>46</v>
      </c>
      <c r="K117" s="23">
        <f t="shared" si="136"/>
        <v>46</v>
      </c>
      <c r="L117" s="23">
        <f t="shared" si="118"/>
        <v>46</v>
      </c>
      <c r="M117" s="23">
        <f t="shared" si="128"/>
        <v>46</v>
      </c>
      <c r="N117" s="23">
        <f t="shared" si="129"/>
        <v>46</v>
      </c>
      <c r="O117" s="23">
        <f>N117+54</f>
        <v>100</v>
      </c>
      <c r="P117" s="23">
        <f t="shared" si="133"/>
        <v>100</v>
      </c>
      <c r="Q117" s="23">
        <f t="shared" si="137"/>
        <v>100</v>
      </c>
      <c r="R117" s="23">
        <f t="shared" si="110"/>
        <v>100</v>
      </c>
      <c r="S117" s="23">
        <f t="shared" si="119"/>
        <v>100</v>
      </c>
      <c r="T117" s="23">
        <f t="shared" si="123"/>
        <v>100</v>
      </c>
      <c r="U117" s="23">
        <f t="shared" si="134"/>
        <v>100</v>
      </c>
      <c r="V117" s="23">
        <f t="shared" si="114"/>
        <v>100</v>
      </c>
      <c r="W117" s="23">
        <f t="shared" si="130"/>
        <v>100</v>
      </c>
      <c r="X117" s="23">
        <f t="shared" si="135"/>
        <v>100</v>
      </c>
      <c r="Y117" s="23">
        <f t="shared" si="124"/>
        <v>100</v>
      </c>
      <c r="Z117" s="23">
        <f t="shared" si="117"/>
        <v>100</v>
      </c>
      <c r="AA117" s="23">
        <f t="shared" si="112"/>
        <v>100</v>
      </c>
      <c r="AB117" s="23">
        <f t="shared" si="131"/>
        <v>100</v>
      </c>
      <c r="AC117" s="23">
        <f t="shared" si="115"/>
        <v>100</v>
      </c>
      <c r="AD117" s="23">
        <f t="shared" si="125"/>
        <v>100</v>
      </c>
      <c r="AE117" s="23">
        <f t="shared" si="120"/>
        <v>100</v>
      </c>
      <c r="AF117" s="23">
        <f t="shared" si="132"/>
        <v>100</v>
      </c>
      <c r="AG117" s="23">
        <f t="shared" si="121"/>
        <v>100</v>
      </c>
      <c r="AH117" s="23">
        <f t="shared" si="121"/>
        <v>100</v>
      </c>
      <c r="AI117" s="23">
        <f t="shared" si="138"/>
        <v>100</v>
      </c>
      <c r="AJ117" s="23">
        <f t="shared" si="138"/>
        <v>100</v>
      </c>
      <c r="AK117" s="23">
        <f t="shared" si="126"/>
        <v>100</v>
      </c>
      <c r="AL117" s="81">
        <v>3680</v>
      </c>
      <c r="AM117" s="4">
        <v>3</v>
      </c>
      <c r="AN117" s="81" t="s">
        <v>493</v>
      </c>
      <c r="AO117" s="15" t="s">
        <v>259</v>
      </c>
      <c r="AP117" s="15">
        <v>1965</v>
      </c>
      <c r="AQ117" s="15" t="s">
        <v>486</v>
      </c>
    </row>
    <row r="118" spans="1:44" x14ac:dyDescent="0.3">
      <c r="A118" s="1">
        <v>20</v>
      </c>
      <c r="B118" s="23">
        <v>0</v>
      </c>
      <c r="C118" s="23">
        <f t="shared" si="122"/>
        <v>0</v>
      </c>
      <c r="D118" s="23">
        <f t="shared" si="127"/>
        <v>0</v>
      </c>
      <c r="E118" s="23">
        <f t="shared" si="108"/>
        <v>0</v>
      </c>
      <c r="F118" s="23">
        <f t="shared" ref="F118:F126" si="139">E118+0</f>
        <v>0</v>
      </c>
      <c r="G118" s="23">
        <f t="shared" si="109"/>
        <v>0</v>
      </c>
      <c r="H118" s="23">
        <f>G118+1</f>
        <v>1</v>
      </c>
      <c r="I118" s="23">
        <f t="shared" si="111"/>
        <v>1</v>
      </c>
      <c r="J118" s="23">
        <f t="shared" ref="J118:J146" si="140">I118+0</f>
        <v>1</v>
      </c>
      <c r="K118" s="23">
        <f t="shared" si="136"/>
        <v>1</v>
      </c>
      <c r="L118" s="23">
        <f t="shared" si="118"/>
        <v>1</v>
      </c>
      <c r="M118" s="23">
        <f t="shared" si="128"/>
        <v>1</v>
      </c>
      <c r="N118" s="23">
        <f t="shared" si="129"/>
        <v>1</v>
      </c>
      <c r="O118" s="23">
        <f>N118+19</f>
        <v>20</v>
      </c>
      <c r="P118" s="23">
        <f t="shared" si="133"/>
        <v>20</v>
      </c>
      <c r="Q118" s="23">
        <f t="shared" si="137"/>
        <v>20</v>
      </c>
      <c r="R118" s="23">
        <f t="shared" si="110"/>
        <v>20</v>
      </c>
      <c r="S118" s="23">
        <f t="shared" si="119"/>
        <v>20</v>
      </c>
      <c r="T118" s="23">
        <f t="shared" si="123"/>
        <v>20</v>
      </c>
      <c r="U118" s="23">
        <f t="shared" si="134"/>
        <v>20</v>
      </c>
      <c r="V118" s="23">
        <f t="shared" si="114"/>
        <v>20</v>
      </c>
      <c r="W118" s="23">
        <f t="shared" si="130"/>
        <v>20</v>
      </c>
      <c r="X118" s="23">
        <f t="shared" si="135"/>
        <v>20</v>
      </c>
      <c r="Y118" s="23">
        <f t="shared" si="124"/>
        <v>20</v>
      </c>
      <c r="Z118" s="23">
        <f t="shared" si="117"/>
        <v>20</v>
      </c>
      <c r="AA118" s="23">
        <f t="shared" si="112"/>
        <v>20</v>
      </c>
      <c r="AB118" s="23">
        <f t="shared" si="131"/>
        <v>20</v>
      </c>
      <c r="AC118" s="23">
        <f t="shared" si="115"/>
        <v>20</v>
      </c>
      <c r="AD118" s="23">
        <f t="shared" si="125"/>
        <v>20</v>
      </c>
      <c r="AE118" s="23">
        <f t="shared" si="120"/>
        <v>20</v>
      </c>
      <c r="AF118" s="23">
        <f t="shared" si="132"/>
        <v>20</v>
      </c>
      <c r="AG118" s="23">
        <f t="shared" ref="AG118:AH137" si="141">AF118+0</f>
        <v>20</v>
      </c>
      <c r="AH118" s="23">
        <f t="shared" si="141"/>
        <v>20</v>
      </c>
      <c r="AI118" s="23">
        <f t="shared" si="138"/>
        <v>20</v>
      </c>
      <c r="AJ118" s="23">
        <f t="shared" si="138"/>
        <v>20</v>
      </c>
      <c r="AK118" s="23">
        <f t="shared" si="126"/>
        <v>20</v>
      </c>
      <c r="AL118" s="81">
        <v>60</v>
      </c>
      <c r="AM118" s="4">
        <v>1</v>
      </c>
      <c r="AN118" s="81" t="s">
        <v>512</v>
      </c>
      <c r="AO118" s="15" t="s">
        <v>509</v>
      </c>
      <c r="AP118" s="15">
        <v>2005</v>
      </c>
      <c r="AQ118" s="15" t="s">
        <v>510</v>
      </c>
    </row>
    <row r="119" spans="1:44" x14ac:dyDescent="0.3">
      <c r="A119" s="1">
        <v>3</v>
      </c>
      <c r="B119" s="23">
        <v>0</v>
      </c>
      <c r="C119" s="23">
        <f t="shared" si="122"/>
        <v>0</v>
      </c>
      <c r="D119" s="23">
        <f t="shared" si="127"/>
        <v>0</v>
      </c>
      <c r="E119" s="23">
        <f t="shared" si="108"/>
        <v>0</v>
      </c>
      <c r="F119" s="23">
        <f t="shared" si="139"/>
        <v>0</v>
      </c>
      <c r="G119" s="23">
        <f t="shared" si="109"/>
        <v>0</v>
      </c>
      <c r="H119" s="23">
        <f>G119+2</f>
        <v>2</v>
      </c>
      <c r="I119" s="23">
        <f t="shared" si="111"/>
        <v>2</v>
      </c>
      <c r="J119" s="23">
        <f t="shared" si="140"/>
        <v>2</v>
      </c>
      <c r="K119" s="23">
        <f t="shared" si="136"/>
        <v>2</v>
      </c>
      <c r="L119" s="23">
        <f t="shared" si="118"/>
        <v>2</v>
      </c>
      <c r="M119" s="23">
        <f t="shared" si="128"/>
        <v>2</v>
      </c>
      <c r="N119" s="23">
        <f t="shared" si="129"/>
        <v>2</v>
      </c>
      <c r="O119" s="23">
        <f>N119+1</f>
        <v>3</v>
      </c>
      <c r="P119" s="23">
        <f t="shared" si="133"/>
        <v>3</v>
      </c>
      <c r="Q119" s="23">
        <f t="shared" si="137"/>
        <v>3</v>
      </c>
      <c r="R119" s="23">
        <f t="shared" si="110"/>
        <v>3</v>
      </c>
      <c r="S119" s="23">
        <f t="shared" si="119"/>
        <v>3</v>
      </c>
      <c r="T119" s="23">
        <f t="shared" si="123"/>
        <v>3</v>
      </c>
      <c r="U119" s="23">
        <f t="shared" si="134"/>
        <v>3</v>
      </c>
      <c r="V119" s="23">
        <f t="shared" si="114"/>
        <v>3</v>
      </c>
      <c r="W119" s="23">
        <f t="shared" si="130"/>
        <v>3</v>
      </c>
      <c r="X119" s="23">
        <f t="shared" si="135"/>
        <v>3</v>
      </c>
      <c r="Y119" s="23">
        <f t="shared" si="124"/>
        <v>3</v>
      </c>
      <c r="Z119" s="23">
        <f t="shared" si="117"/>
        <v>3</v>
      </c>
      <c r="AA119" s="23">
        <f t="shared" si="112"/>
        <v>3</v>
      </c>
      <c r="AB119" s="23">
        <f t="shared" si="131"/>
        <v>3</v>
      </c>
      <c r="AC119" s="23">
        <f t="shared" si="115"/>
        <v>3</v>
      </c>
      <c r="AD119" s="23">
        <f t="shared" si="125"/>
        <v>3</v>
      </c>
      <c r="AE119" s="23">
        <f t="shared" si="120"/>
        <v>3</v>
      </c>
      <c r="AF119" s="23">
        <f t="shared" si="132"/>
        <v>3</v>
      </c>
      <c r="AG119" s="23">
        <f t="shared" si="141"/>
        <v>3</v>
      </c>
      <c r="AH119" s="23">
        <f t="shared" si="141"/>
        <v>3</v>
      </c>
      <c r="AI119" s="23">
        <f t="shared" si="138"/>
        <v>3</v>
      </c>
      <c r="AJ119" s="23">
        <f t="shared" si="138"/>
        <v>3</v>
      </c>
      <c r="AK119" s="23">
        <f t="shared" si="126"/>
        <v>3</v>
      </c>
      <c r="AL119" s="81">
        <v>180</v>
      </c>
      <c r="AM119" s="4">
        <v>1</v>
      </c>
      <c r="AN119" s="81" t="s">
        <v>512</v>
      </c>
      <c r="AO119" s="15" t="s">
        <v>509</v>
      </c>
      <c r="AP119" s="15">
        <v>2005</v>
      </c>
      <c r="AQ119" s="15" t="s">
        <v>510</v>
      </c>
    </row>
    <row r="120" spans="1:44" x14ac:dyDescent="0.3">
      <c r="A120" s="1">
        <v>23</v>
      </c>
      <c r="B120" s="23">
        <v>0</v>
      </c>
      <c r="C120" s="23">
        <f t="shared" si="122"/>
        <v>0</v>
      </c>
      <c r="D120" s="23">
        <f t="shared" si="127"/>
        <v>0</v>
      </c>
      <c r="E120" s="23">
        <f t="shared" si="108"/>
        <v>0</v>
      </c>
      <c r="F120" s="23">
        <f t="shared" si="139"/>
        <v>0</v>
      </c>
      <c r="G120" s="23">
        <f t="shared" si="109"/>
        <v>0</v>
      </c>
      <c r="H120" s="23">
        <f>G120+13</f>
        <v>13</v>
      </c>
      <c r="I120" s="23">
        <f t="shared" si="111"/>
        <v>13</v>
      </c>
      <c r="J120" s="23">
        <f t="shared" si="140"/>
        <v>13</v>
      </c>
      <c r="K120" s="23">
        <f t="shared" si="136"/>
        <v>13</v>
      </c>
      <c r="L120" s="23">
        <f t="shared" si="118"/>
        <v>13</v>
      </c>
      <c r="M120" s="23">
        <f t="shared" si="128"/>
        <v>13</v>
      </c>
      <c r="N120" s="23">
        <f t="shared" si="129"/>
        <v>13</v>
      </c>
      <c r="O120" s="23">
        <f>N120+10</f>
        <v>23</v>
      </c>
      <c r="P120" s="23">
        <f t="shared" si="133"/>
        <v>23</v>
      </c>
      <c r="Q120" s="23">
        <f t="shared" si="137"/>
        <v>23</v>
      </c>
      <c r="R120" s="23">
        <f t="shared" si="110"/>
        <v>23</v>
      </c>
      <c r="S120" s="23">
        <f t="shared" si="119"/>
        <v>23</v>
      </c>
      <c r="T120" s="23">
        <f t="shared" si="123"/>
        <v>23</v>
      </c>
      <c r="U120" s="23">
        <f t="shared" si="134"/>
        <v>23</v>
      </c>
      <c r="V120" s="23">
        <f t="shared" si="114"/>
        <v>23</v>
      </c>
      <c r="W120" s="23">
        <f t="shared" si="130"/>
        <v>23</v>
      </c>
      <c r="X120" s="23">
        <f t="shared" si="135"/>
        <v>23</v>
      </c>
      <c r="Y120" s="23">
        <f t="shared" si="124"/>
        <v>23</v>
      </c>
      <c r="Z120" s="23">
        <f t="shared" si="117"/>
        <v>23</v>
      </c>
      <c r="AA120" s="23">
        <f t="shared" si="112"/>
        <v>23</v>
      </c>
      <c r="AB120" s="23">
        <f t="shared" si="131"/>
        <v>23</v>
      </c>
      <c r="AC120" s="23">
        <f t="shared" si="115"/>
        <v>23</v>
      </c>
      <c r="AD120" s="23">
        <f t="shared" si="125"/>
        <v>23</v>
      </c>
      <c r="AE120" s="23">
        <f t="shared" si="120"/>
        <v>23</v>
      </c>
      <c r="AF120" s="23">
        <f t="shared" si="132"/>
        <v>23</v>
      </c>
      <c r="AG120" s="23">
        <f t="shared" si="141"/>
        <v>23</v>
      </c>
      <c r="AH120" s="23">
        <f t="shared" si="141"/>
        <v>23</v>
      </c>
      <c r="AI120" s="23">
        <f t="shared" si="138"/>
        <v>23</v>
      </c>
      <c r="AJ120" s="23">
        <f t="shared" si="138"/>
        <v>23</v>
      </c>
      <c r="AK120" s="23">
        <f t="shared" si="126"/>
        <v>23</v>
      </c>
      <c r="AL120" s="81">
        <v>180</v>
      </c>
      <c r="AM120" s="4">
        <v>1</v>
      </c>
      <c r="AN120" s="81" t="s">
        <v>511</v>
      </c>
      <c r="AO120" s="15" t="s">
        <v>509</v>
      </c>
      <c r="AP120" s="15">
        <v>2005</v>
      </c>
      <c r="AQ120" s="15" t="s">
        <v>510</v>
      </c>
    </row>
    <row r="121" spans="1:44" x14ac:dyDescent="0.3">
      <c r="A121" s="1">
        <v>42</v>
      </c>
      <c r="B121" s="23">
        <v>0</v>
      </c>
      <c r="C121" s="23">
        <f t="shared" si="122"/>
        <v>0</v>
      </c>
      <c r="D121" s="23">
        <f t="shared" si="127"/>
        <v>0</v>
      </c>
      <c r="E121" s="23">
        <f t="shared" ref="E121:E139" si="142">D121+0</f>
        <v>0</v>
      </c>
      <c r="F121" s="23">
        <f t="shared" si="139"/>
        <v>0</v>
      </c>
      <c r="G121" s="23">
        <f t="shared" ref="G121:G139" si="143">F121+0</f>
        <v>0</v>
      </c>
      <c r="H121" s="23">
        <f>G121+14</f>
        <v>14</v>
      </c>
      <c r="I121" s="23">
        <f t="shared" si="111"/>
        <v>14</v>
      </c>
      <c r="J121" s="23">
        <f t="shared" si="140"/>
        <v>14</v>
      </c>
      <c r="K121" s="23">
        <f t="shared" si="136"/>
        <v>14</v>
      </c>
      <c r="L121" s="23">
        <f t="shared" si="118"/>
        <v>14</v>
      </c>
      <c r="M121" s="23">
        <f t="shared" si="128"/>
        <v>14</v>
      </c>
      <c r="N121" s="23">
        <f t="shared" si="129"/>
        <v>14</v>
      </c>
      <c r="O121" s="23">
        <f>N121+28</f>
        <v>42</v>
      </c>
      <c r="P121" s="23">
        <f t="shared" si="133"/>
        <v>42</v>
      </c>
      <c r="Q121" s="23">
        <f t="shared" si="137"/>
        <v>42</v>
      </c>
      <c r="R121" s="23">
        <f t="shared" ref="R121:R126" si="144">Q121+0</f>
        <v>42</v>
      </c>
      <c r="S121" s="23">
        <f t="shared" si="119"/>
        <v>42</v>
      </c>
      <c r="T121" s="23">
        <f t="shared" si="123"/>
        <v>42</v>
      </c>
      <c r="U121" s="23">
        <f t="shared" si="134"/>
        <v>42</v>
      </c>
      <c r="V121" s="23">
        <f t="shared" si="114"/>
        <v>42</v>
      </c>
      <c r="W121" s="23">
        <f t="shared" si="130"/>
        <v>42</v>
      </c>
      <c r="X121" s="23">
        <f t="shared" si="135"/>
        <v>42</v>
      </c>
      <c r="Y121" s="23">
        <f t="shared" si="124"/>
        <v>42</v>
      </c>
      <c r="Z121" s="23">
        <f t="shared" si="117"/>
        <v>42</v>
      </c>
      <c r="AA121" s="23">
        <f t="shared" si="112"/>
        <v>42</v>
      </c>
      <c r="AB121" s="23">
        <f t="shared" si="131"/>
        <v>42</v>
      </c>
      <c r="AC121" s="23">
        <f t="shared" si="115"/>
        <v>42</v>
      </c>
      <c r="AD121" s="23">
        <f t="shared" si="125"/>
        <v>42</v>
      </c>
      <c r="AE121" s="23">
        <f t="shared" si="120"/>
        <v>42</v>
      </c>
      <c r="AF121" s="23">
        <f t="shared" si="132"/>
        <v>42</v>
      </c>
      <c r="AG121" s="23">
        <f t="shared" si="141"/>
        <v>42</v>
      </c>
      <c r="AH121" s="23">
        <f t="shared" si="141"/>
        <v>42</v>
      </c>
      <c r="AI121" s="23">
        <f t="shared" si="138"/>
        <v>42</v>
      </c>
      <c r="AJ121" s="23">
        <f t="shared" si="138"/>
        <v>42</v>
      </c>
      <c r="AK121" s="23">
        <f t="shared" si="126"/>
        <v>42</v>
      </c>
      <c r="AL121" s="81">
        <v>60</v>
      </c>
      <c r="AM121" s="4">
        <v>2</v>
      </c>
      <c r="AN121" s="81" t="s">
        <v>512</v>
      </c>
      <c r="AO121" s="15" t="s">
        <v>509</v>
      </c>
      <c r="AP121" s="15">
        <v>2005</v>
      </c>
      <c r="AQ121" s="15" t="s">
        <v>510</v>
      </c>
    </row>
    <row r="122" spans="1:44" x14ac:dyDescent="0.3">
      <c r="A122" s="1">
        <v>4</v>
      </c>
      <c r="B122" s="23">
        <v>0</v>
      </c>
      <c r="C122" s="23">
        <f t="shared" si="122"/>
        <v>0</v>
      </c>
      <c r="D122" s="23">
        <f t="shared" si="127"/>
        <v>0</v>
      </c>
      <c r="E122" s="23">
        <f t="shared" si="142"/>
        <v>0</v>
      </c>
      <c r="F122" s="23">
        <f t="shared" si="139"/>
        <v>0</v>
      </c>
      <c r="G122" s="23">
        <f t="shared" si="143"/>
        <v>0</v>
      </c>
      <c r="H122" s="23">
        <f>G122+4</f>
        <v>4</v>
      </c>
      <c r="I122" s="23">
        <f t="shared" si="111"/>
        <v>4</v>
      </c>
      <c r="J122" s="23">
        <f t="shared" si="140"/>
        <v>4</v>
      </c>
      <c r="K122" s="23">
        <f t="shared" si="136"/>
        <v>4</v>
      </c>
      <c r="L122" s="23">
        <f t="shared" si="118"/>
        <v>4</v>
      </c>
      <c r="M122" s="23">
        <f t="shared" si="128"/>
        <v>4</v>
      </c>
      <c r="N122" s="23">
        <f t="shared" si="129"/>
        <v>4</v>
      </c>
      <c r="O122" s="23">
        <f>N122+0</f>
        <v>4</v>
      </c>
      <c r="P122" s="23">
        <f t="shared" si="133"/>
        <v>4</v>
      </c>
      <c r="Q122" s="23">
        <f t="shared" si="137"/>
        <v>4</v>
      </c>
      <c r="R122" s="23">
        <f t="shared" si="144"/>
        <v>4</v>
      </c>
      <c r="S122" s="23">
        <f t="shared" si="119"/>
        <v>4</v>
      </c>
      <c r="T122" s="23">
        <f t="shared" si="123"/>
        <v>4</v>
      </c>
      <c r="U122" s="23">
        <f t="shared" si="134"/>
        <v>4</v>
      </c>
      <c r="V122" s="23">
        <f t="shared" si="114"/>
        <v>4</v>
      </c>
      <c r="W122" s="23">
        <f t="shared" si="130"/>
        <v>4</v>
      </c>
      <c r="X122" s="23">
        <f t="shared" si="135"/>
        <v>4</v>
      </c>
      <c r="Y122" s="23">
        <f t="shared" si="124"/>
        <v>4</v>
      </c>
      <c r="Z122" s="23">
        <f t="shared" si="117"/>
        <v>4</v>
      </c>
      <c r="AA122" s="23">
        <f t="shared" si="112"/>
        <v>4</v>
      </c>
      <c r="AB122" s="23">
        <f t="shared" si="131"/>
        <v>4</v>
      </c>
      <c r="AC122" s="23">
        <f t="shared" si="115"/>
        <v>4</v>
      </c>
      <c r="AD122" s="23">
        <f t="shared" si="125"/>
        <v>4</v>
      </c>
      <c r="AE122" s="23">
        <f t="shared" si="120"/>
        <v>4</v>
      </c>
      <c r="AF122" s="23">
        <f t="shared" si="132"/>
        <v>4</v>
      </c>
      <c r="AG122" s="23">
        <f t="shared" si="141"/>
        <v>4</v>
      </c>
      <c r="AH122" s="23">
        <f t="shared" si="141"/>
        <v>4</v>
      </c>
      <c r="AI122" s="23">
        <f t="shared" si="138"/>
        <v>4</v>
      </c>
      <c r="AJ122" s="23">
        <f t="shared" si="138"/>
        <v>4</v>
      </c>
      <c r="AK122" s="23">
        <f t="shared" si="126"/>
        <v>4</v>
      </c>
      <c r="AL122" s="81">
        <v>180</v>
      </c>
      <c r="AM122" s="4">
        <v>2</v>
      </c>
      <c r="AN122" s="81" t="s">
        <v>512</v>
      </c>
      <c r="AO122" s="15" t="s">
        <v>509</v>
      </c>
      <c r="AP122" s="15">
        <v>2005</v>
      </c>
      <c r="AQ122" s="15" t="s">
        <v>510</v>
      </c>
    </row>
    <row r="123" spans="1:44" x14ac:dyDescent="0.3">
      <c r="A123" s="1">
        <v>32</v>
      </c>
      <c r="B123" s="23">
        <v>0</v>
      </c>
      <c r="C123" s="23">
        <f t="shared" si="122"/>
        <v>0</v>
      </c>
      <c r="D123" s="23">
        <f t="shared" si="127"/>
        <v>0</v>
      </c>
      <c r="E123" s="23">
        <f t="shared" si="142"/>
        <v>0</v>
      </c>
      <c r="F123" s="23">
        <f t="shared" si="139"/>
        <v>0</v>
      </c>
      <c r="G123" s="23">
        <f t="shared" si="143"/>
        <v>0</v>
      </c>
      <c r="H123" s="23">
        <f>G123+22</f>
        <v>22</v>
      </c>
      <c r="I123" s="23">
        <f t="shared" ref="I123:I132" si="145">H123+0</f>
        <v>22</v>
      </c>
      <c r="J123" s="23">
        <f t="shared" si="140"/>
        <v>22</v>
      </c>
      <c r="K123" s="23">
        <f t="shared" si="136"/>
        <v>22</v>
      </c>
      <c r="L123" s="23">
        <f t="shared" si="118"/>
        <v>22</v>
      </c>
      <c r="M123" s="23">
        <f t="shared" si="128"/>
        <v>22</v>
      </c>
      <c r="N123" s="23">
        <f t="shared" si="129"/>
        <v>22</v>
      </c>
      <c r="O123" s="23">
        <f>N123+10</f>
        <v>32</v>
      </c>
      <c r="P123" s="23">
        <f t="shared" si="133"/>
        <v>32</v>
      </c>
      <c r="Q123" s="23">
        <f t="shared" si="137"/>
        <v>32</v>
      </c>
      <c r="R123" s="23">
        <f t="shared" si="144"/>
        <v>32</v>
      </c>
      <c r="S123" s="23">
        <f t="shared" si="119"/>
        <v>32</v>
      </c>
      <c r="T123" s="23">
        <f t="shared" si="123"/>
        <v>32</v>
      </c>
      <c r="U123" s="23">
        <f t="shared" si="134"/>
        <v>32</v>
      </c>
      <c r="V123" s="23">
        <f t="shared" si="114"/>
        <v>32</v>
      </c>
      <c r="W123" s="23">
        <f t="shared" si="130"/>
        <v>32</v>
      </c>
      <c r="X123" s="23">
        <f t="shared" si="135"/>
        <v>32</v>
      </c>
      <c r="Y123" s="23">
        <f t="shared" si="124"/>
        <v>32</v>
      </c>
      <c r="Z123" s="23">
        <f t="shared" si="117"/>
        <v>32</v>
      </c>
      <c r="AA123" s="23">
        <f t="shared" ref="AA123:AA129" si="146">Z123+0</f>
        <v>32</v>
      </c>
      <c r="AB123" s="23">
        <f t="shared" si="131"/>
        <v>32</v>
      </c>
      <c r="AC123" s="23">
        <f t="shared" si="115"/>
        <v>32</v>
      </c>
      <c r="AD123" s="23">
        <f t="shared" si="125"/>
        <v>32</v>
      </c>
      <c r="AE123" s="23">
        <f t="shared" si="120"/>
        <v>32</v>
      </c>
      <c r="AF123" s="23">
        <f t="shared" si="132"/>
        <v>32</v>
      </c>
      <c r="AG123" s="23">
        <f t="shared" si="141"/>
        <v>32</v>
      </c>
      <c r="AH123" s="23">
        <f t="shared" si="141"/>
        <v>32</v>
      </c>
      <c r="AI123" s="23">
        <f t="shared" si="138"/>
        <v>32</v>
      </c>
      <c r="AJ123" s="23">
        <f t="shared" si="138"/>
        <v>32</v>
      </c>
      <c r="AK123" s="23">
        <f t="shared" si="126"/>
        <v>32</v>
      </c>
      <c r="AL123" s="81">
        <v>180</v>
      </c>
      <c r="AM123" s="4">
        <v>2</v>
      </c>
      <c r="AN123" s="81" t="s">
        <v>511</v>
      </c>
      <c r="AO123" s="15" t="s">
        <v>509</v>
      </c>
      <c r="AP123" s="15">
        <v>2005</v>
      </c>
      <c r="AQ123" s="15" t="s">
        <v>510</v>
      </c>
    </row>
    <row r="124" spans="1:44" x14ac:dyDescent="0.3">
      <c r="A124" s="1">
        <v>28</v>
      </c>
      <c r="B124" s="23">
        <v>0</v>
      </c>
      <c r="C124" s="23">
        <f t="shared" si="122"/>
        <v>0</v>
      </c>
      <c r="D124" s="23">
        <f t="shared" si="127"/>
        <v>0</v>
      </c>
      <c r="E124" s="23">
        <f t="shared" si="142"/>
        <v>0</v>
      </c>
      <c r="F124" s="23">
        <f t="shared" si="139"/>
        <v>0</v>
      </c>
      <c r="G124" s="23">
        <f t="shared" si="143"/>
        <v>0</v>
      </c>
      <c r="H124" s="23">
        <f>G124+5</f>
        <v>5</v>
      </c>
      <c r="I124" s="23">
        <f t="shared" si="145"/>
        <v>5</v>
      </c>
      <c r="J124" s="23">
        <f t="shared" si="140"/>
        <v>5</v>
      </c>
      <c r="K124" s="23">
        <f t="shared" si="136"/>
        <v>5</v>
      </c>
      <c r="L124" s="23">
        <f t="shared" si="118"/>
        <v>5</v>
      </c>
      <c r="M124" s="23">
        <f t="shared" si="128"/>
        <v>5</v>
      </c>
      <c r="N124" s="23">
        <f t="shared" si="129"/>
        <v>5</v>
      </c>
      <c r="O124" s="23">
        <f>N124+23</f>
        <v>28</v>
      </c>
      <c r="P124" s="23">
        <f t="shared" si="133"/>
        <v>28</v>
      </c>
      <c r="Q124" s="23">
        <f t="shared" si="137"/>
        <v>28</v>
      </c>
      <c r="R124" s="23">
        <f t="shared" si="144"/>
        <v>28</v>
      </c>
      <c r="S124" s="23">
        <f t="shared" si="119"/>
        <v>28</v>
      </c>
      <c r="T124" s="23">
        <f t="shared" si="123"/>
        <v>28</v>
      </c>
      <c r="U124" s="23">
        <f t="shared" si="134"/>
        <v>28</v>
      </c>
      <c r="V124" s="23">
        <f t="shared" si="114"/>
        <v>28</v>
      </c>
      <c r="W124" s="23">
        <f t="shared" si="130"/>
        <v>28</v>
      </c>
      <c r="X124" s="23">
        <f t="shared" si="135"/>
        <v>28</v>
      </c>
      <c r="Y124" s="23">
        <f t="shared" si="124"/>
        <v>28</v>
      </c>
      <c r="Z124" s="23">
        <f t="shared" si="117"/>
        <v>28</v>
      </c>
      <c r="AA124" s="23">
        <f t="shared" si="146"/>
        <v>28</v>
      </c>
      <c r="AB124" s="23">
        <f t="shared" si="131"/>
        <v>28</v>
      </c>
      <c r="AC124" s="23">
        <f t="shared" si="115"/>
        <v>28</v>
      </c>
      <c r="AD124" s="23">
        <f t="shared" si="125"/>
        <v>28</v>
      </c>
      <c r="AE124" s="23">
        <f t="shared" si="120"/>
        <v>28</v>
      </c>
      <c r="AF124" s="23">
        <f t="shared" si="132"/>
        <v>28</v>
      </c>
      <c r="AG124" s="23">
        <f t="shared" si="141"/>
        <v>28</v>
      </c>
      <c r="AH124" s="23">
        <f t="shared" si="141"/>
        <v>28</v>
      </c>
      <c r="AI124" s="23">
        <f t="shared" si="138"/>
        <v>28</v>
      </c>
      <c r="AJ124" s="23">
        <f t="shared" si="138"/>
        <v>28</v>
      </c>
      <c r="AK124" s="23">
        <f t="shared" si="126"/>
        <v>28</v>
      </c>
      <c r="AL124" s="81">
        <v>60</v>
      </c>
      <c r="AM124" s="4">
        <v>3</v>
      </c>
      <c r="AN124" s="81" t="s">
        <v>512</v>
      </c>
      <c r="AO124" s="15" t="s">
        <v>509</v>
      </c>
      <c r="AP124" s="15">
        <v>2005</v>
      </c>
      <c r="AQ124" s="15" t="s">
        <v>510</v>
      </c>
    </row>
    <row r="125" spans="1:44" x14ac:dyDescent="0.3">
      <c r="A125" s="1">
        <v>7</v>
      </c>
      <c r="B125" s="23">
        <v>0</v>
      </c>
      <c r="C125" s="23">
        <f t="shared" si="122"/>
        <v>0</v>
      </c>
      <c r="D125" s="23">
        <f t="shared" si="127"/>
        <v>0</v>
      </c>
      <c r="E125" s="23">
        <f t="shared" si="142"/>
        <v>0</v>
      </c>
      <c r="F125" s="23">
        <f t="shared" si="139"/>
        <v>0</v>
      </c>
      <c r="G125" s="23">
        <f t="shared" si="143"/>
        <v>0</v>
      </c>
      <c r="H125" s="23">
        <f>G125+5</f>
        <v>5</v>
      </c>
      <c r="I125" s="23">
        <f t="shared" si="145"/>
        <v>5</v>
      </c>
      <c r="J125" s="23">
        <f t="shared" si="140"/>
        <v>5</v>
      </c>
      <c r="K125" s="23">
        <f t="shared" si="136"/>
        <v>5</v>
      </c>
      <c r="L125" s="23">
        <f t="shared" si="118"/>
        <v>5</v>
      </c>
      <c r="M125" s="23">
        <f t="shared" si="128"/>
        <v>5</v>
      </c>
      <c r="N125" s="23">
        <f t="shared" si="129"/>
        <v>5</v>
      </c>
      <c r="O125" s="23">
        <f>N125+2</f>
        <v>7</v>
      </c>
      <c r="P125" s="23">
        <f t="shared" si="133"/>
        <v>7</v>
      </c>
      <c r="Q125" s="23">
        <f t="shared" si="137"/>
        <v>7</v>
      </c>
      <c r="R125" s="23">
        <f t="shared" si="144"/>
        <v>7</v>
      </c>
      <c r="S125" s="23">
        <f t="shared" si="119"/>
        <v>7</v>
      </c>
      <c r="T125" s="23">
        <f t="shared" si="123"/>
        <v>7</v>
      </c>
      <c r="U125" s="23">
        <f t="shared" si="134"/>
        <v>7</v>
      </c>
      <c r="V125" s="23">
        <f t="shared" si="114"/>
        <v>7</v>
      </c>
      <c r="W125" s="23">
        <f t="shared" si="130"/>
        <v>7</v>
      </c>
      <c r="X125" s="23">
        <f t="shared" si="135"/>
        <v>7</v>
      </c>
      <c r="Y125" s="23">
        <f t="shared" si="124"/>
        <v>7</v>
      </c>
      <c r="Z125" s="23">
        <f t="shared" si="117"/>
        <v>7</v>
      </c>
      <c r="AA125" s="23">
        <f t="shared" si="146"/>
        <v>7</v>
      </c>
      <c r="AB125" s="23">
        <f t="shared" si="131"/>
        <v>7</v>
      </c>
      <c r="AC125" s="23">
        <f t="shared" si="115"/>
        <v>7</v>
      </c>
      <c r="AD125" s="23">
        <f t="shared" si="125"/>
        <v>7</v>
      </c>
      <c r="AE125" s="23">
        <f t="shared" si="120"/>
        <v>7</v>
      </c>
      <c r="AF125" s="23">
        <f t="shared" si="132"/>
        <v>7</v>
      </c>
      <c r="AG125" s="23">
        <f t="shared" si="141"/>
        <v>7</v>
      </c>
      <c r="AH125" s="23">
        <f t="shared" si="141"/>
        <v>7</v>
      </c>
      <c r="AI125" s="23">
        <f t="shared" si="138"/>
        <v>7</v>
      </c>
      <c r="AJ125" s="23">
        <f t="shared" si="138"/>
        <v>7</v>
      </c>
      <c r="AK125" s="23">
        <f t="shared" si="126"/>
        <v>7</v>
      </c>
      <c r="AL125" s="81">
        <v>180</v>
      </c>
      <c r="AM125" s="4">
        <v>3</v>
      </c>
      <c r="AN125" s="81" t="s">
        <v>512</v>
      </c>
      <c r="AO125" s="81" t="s">
        <v>509</v>
      </c>
      <c r="AP125" s="81">
        <v>2005</v>
      </c>
      <c r="AQ125" s="81" t="s">
        <v>510</v>
      </c>
    </row>
    <row r="126" spans="1:44" s="85" customFormat="1" x14ac:dyDescent="0.3">
      <c r="A126" s="67">
        <v>21</v>
      </c>
      <c r="B126" s="87">
        <v>0</v>
      </c>
      <c r="C126" s="87">
        <f t="shared" si="122"/>
        <v>0</v>
      </c>
      <c r="D126" s="87">
        <f t="shared" si="127"/>
        <v>0</v>
      </c>
      <c r="E126" s="87">
        <f t="shared" si="142"/>
        <v>0</v>
      </c>
      <c r="F126" s="87">
        <f t="shared" si="139"/>
        <v>0</v>
      </c>
      <c r="G126" s="87">
        <f t="shared" si="143"/>
        <v>0</v>
      </c>
      <c r="H126" s="87">
        <f>G126+13</f>
        <v>13</v>
      </c>
      <c r="I126" s="87">
        <f t="shared" si="145"/>
        <v>13</v>
      </c>
      <c r="J126" s="87">
        <f t="shared" si="140"/>
        <v>13</v>
      </c>
      <c r="K126" s="87">
        <f t="shared" si="136"/>
        <v>13</v>
      </c>
      <c r="L126" s="87">
        <f t="shared" si="118"/>
        <v>13</v>
      </c>
      <c r="M126" s="87">
        <f t="shared" si="128"/>
        <v>13</v>
      </c>
      <c r="N126" s="87">
        <f t="shared" si="129"/>
        <v>13</v>
      </c>
      <c r="O126" s="87">
        <f>N126+8</f>
        <v>21</v>
      </c>
      <c r="P126" s="87">
        <f t="shared" si="133"/>
        <v>21</v>
      </c>
      <c r="Q126" s="87">
        <f t="shared" si="137"/>
        <v>21</v>
      </c>
      <c r="R126" s="87">
        <f t="shared" si="144"/>
        <v>21</v>
      </c>
      <c r="S126" s="87">
        <f t="shared" si="119"/>
        <v>21</v>
      </c>
      <c r="T126" s="87">
        <f t="shared" si="123"/>
        <v>21</v>
      </c>
      <c r="U126" s="87">
        <f t="shared" si="134"/>
        <v>21</v>
      </c>
      <c r="V126" s="87">
        <f t="shared" ref="V126:V140" si="147">U126+0</f>
        <v>21</v>
      </c>
      <c r="W126" s="87">
        <f t="shared" si="130"/>
        <v>21</v>
      </c>
      <c r="X126" s="87">
        <f t="shared" si="135"/>
        <v>21</v>
      </c>
      <c r="Y126" s="87">
        <f t="shared" si="124"/>
        <v>21</v>
      </c>
      <c r="Z126" s="87">
        <f t="shared" si="117"/>
        <v>21</v>
      </c>
      <c r="AA126" s="87">
        <f t="shared" si="146"/>
        <v>21</v>
      </c>
      <c r="AB126" s="87">
        <f t="shared" si="131"/>
        <v>21</v>
      </c>
      <c r="AC126" s="87">
        <f t="shared" ref="AC126" si="148">AB126+0</f>
        <v>21</v>
      </c>
      <c r="AD126" s="87">
        <f t="shared" si="125"/>
        <v>21</v>
      </c>
      <c r="AE126" s="87">
        <f t="shared" si="120"/>
        <v>21</v>
      </c>
      <c r="AF126" s="87">
        <f t="shared" si="132"/>
        <v>21</v>
      </c>
      <c r="AG126" s="87">
        <f t="shared" si="141"/>
        <v>21</v>
      </c>
      <c r="AH126" s="87">
        <f t="shared" si="141"/>
        <v>21</v>
      </c>
      <c r="AI126" s="87">
        <f t="shared" si="138"/>
        <v>21</v>
      </c>
      <c r="AJ126" s="87">
        <f t="shared" si="138"/>
        <v>21</v>
      </c>
      <c r="AK126" s="87">
        <f t="shared" si="126"/>
        <v>21</v>
      </c>
      <c r="AL126" s="81">
        <v>180</v>
      </c>
      <c r="AM126" s="70">
        <v>3</v>
      </c>
      <c r="AN126" s="81" t="s">
        <v>511</v>
      </c>
      <c r="AO126" s="81" t="s">
        <v>509</v>
      </c>
      <c r="AP126" s="81">
        <v>2005</v>
      </c>
      <c r="AQ126" s="81" t="s">
        <v>510</v>
      </c>
      <c r="AR126" s="81"/>
    </row>
    <row r="127" spans="1:44" s="85" customFormat="1" x14ac:dyDescent="0.3">
      <c r="A127" s="67">
        <v>132</v>
      </c>
      <c r="B127" s="87">
        <v>0</v>
      </c>
      <c r="C127" s="87">
        <f t="shared" si="122"/>
        <v>0</v>
      </c>
      <c r="D127" s="87">
        <f t="shared" si="127"/>
        <v>0</v>
      </c>
      <c r="E127" s="87">
        <f t="shared" si="142"/>
        <v>0</v>
      </c>
      <c r="F127" s="87">
        <f>E127+36</f>
        <v>36</v>
      </c>
      <c r="G127" s="87">
        <f t="shared" si="143"/>
        <v>36</v>
      </c>
      <c r="H127" s="87">
        <f t="shared" ref="H127:H140" si="149">G127+0</f>
        <v>36</v>
      </c>
      <c r="I127" s="87">
        <f t="shared" si="145"/>
        <v>36</v>
      </c>
      <c r="J127" s="87">
        <f t="shared" si="140"/>
        <v>36</v>
      </c>
      <c r="K127" s="87">
        <f t="shared" si="136"/>
        <v>36</v>
      </c>
      <c r="L127" s="87">
        <f>K127+37</f>
        <v>73</v>
      </c>
      <c r="M127" s="87">
        <f t="shared" si="128"/>
        <v>73</v>
      </c>
      <c r="N127" s="87">
        <f t="shared" si="129"/>
        <v>73</v>
      </c>
      <c r="O127" s="87">
        <f t="shared" ref="O127:O140" si="150">N127+0</f>
        <v>73</v>
      </c>
      <c r="P127" s="87">
        <f t="shared" si="133"/>
        <v>73</v>
      </c>
      <c r="Q127" s="87">
        <f t="shared" si="137"/>
        <v>73</v>
      </c>
      <c r="R127" s="87">
        <f>Q127+44</f>
        <v>117</v>
      </c>
      <c r="S127" s="87">
        <f t="shared" si="119"/>
        <v>117</v>
      </c>
      <c r="T127" s="87">
        <f t="shared" si="123"/>
        <v>117</v>
      </c>
      <c r="U127" s="87">
        <f t="shared" si="134"/>
        <v>117</v>
      </c>
      <c r="V127" s="87">
        <f t="shared" si="147"/>
        <v>117</v>
      </c>
      <c r="W127" s="87">
        <f t="shared" si="130"/>
        <v>117</v>
      </c>
      <c r="X127" s="87">
        <f t="shared" si="135"/>
        <v>117</v>
      </c>
      <c r="Y127" s="87">
        <f>X127+9</f>
        <v>126</v>
      </c>
      <c r="Z127" s="87">
        <f t="shared" si="117"/>
        <v>126</v>
      </c>
      <c r="AA127" s="87">
        <f t="shared" si="146"/>
        <v>126</v>
      </c>
      <c r="AB127" s="87">
        <f t="shared" si="131"/>
        <v>126</v>
      </c>
      <c r="AC127" s="87">
        <f>AB127+6</f>
        <v>132</v>
      </c>
      <c r="AD127" s="87">
        <f t="shared" si="125"/>
        <v>132</v>
      </c>
      <c r="AE127" s="87">
        <f t="shared" si="120"/>
        <v>132</v>
      </c>
      <c r="AF127" s="87">
        <f t="shared" si="132"/>
        <v>132</v>
      </c>
      <c r="AG127" s="87">
        <f t="shared" si="141"/>
        <v>132</v>
      </c>
      <c r="AH127" s="87">
        <f t="shared" si="141"/>
        <v>132</v>
      </c>
      <c r="AI127" s="87">
        <f t="shared" si="138"/>
        <v>132</v>
      </c>
      <c r="AJ127" s="87">
        <f t="shared" si="138"/>
        <v>132</v>
      </c>
      <c r="AK127" s="87">
        <f t="shared" si="126"/>
        <v>132</v>
      </c>
      <c r="AL127" s="81">
        <v>90</v>
      </c>
      <c r="AM127" s="70">
        <v>1</v>
      </c>
      <c r="AN127" s="81" t="s">
        <v>358</v>
      </c>
      <c r="AO127" s="81" t="s">
        <v>354</v>
      </c>
      <c r="AP127" s="81">
        <v>1997</v>
      </c>
      <c r="AQ127" s="81" t="s">
        <v>355</v>
      </c>
      <c r="AR127" s="81"/>
    </row>
    <row r="128" spans="1:44" s="85" customFormat="1" x14ac:dyDescent="0.3">
      <c r="A128" s="67">
        <v>45</v>
      </c>
      <c r="B128" s="87">
        <v>0</v>
      </c>
      <c r="C128" s="87">
        <f t="shared" si="122"/>
        <v>0</v>
      </c>
      <c r="D128" s="87">
        <f>C128+27</f>
        <v>27</v>
      </c>
      <c r="E128" s="87">
        <f t="shared" si="142"/>
        <v>27</v>
      </c>
      <c r="F128" s="87">
        <f>E128+1</f>
        <v>28</v>
      </c>
      <c r="G128" s="87">
        <f t="shared" si="143"/>
        <v>28</v>
      </c>
      <c r="H128" s="87">
        <f t="shared" si="149"/>
        <v>28</v>
      </c>
      <c r="I128" s="87">
        <f t="shared" si="145"/>
        <v>28</v>
      </c>
      <c r="J128" s="87">
        <f t="shared" si="140"/>
        <v>28</v>
      </c>
      <c r="K128" s="87">
        <f t="shared" si="136"/>
        <v>28</v>
      </c>
      <c r="L128" s="87">
        <f>K128+11</f>
        <v>39</v>
      </c>
      <c r="M128" s="87">
        <f t="shared" si="128"/>
        <v>39</v>
      </c>
      <c r="N128" s="87">
        <f t="shared" si="129"/>
        <v>39</v>
      </c>
      <c r="O128" s="87">
        <f t="shared" si="150"/>
        <v>39</v>
      </c>
      <c r="P128" s="87">
        <f t="shared" si="133"/>
        <v>39</v>
      </c>
      <c r="Q128" s="87">
        <f t="shared" si="137"/>
        <v>39</v>
      </c>
      <c r="R128" s="87">
        <f t="shared" ref="R128:R159" si="151">Q128+0</f>
        <v>39</v>
      </c>
      <c r="S128" s="87">
        <f t="shared" si="119"/>
        <v>39</v>
      </c>
      <c r="T128" s="87">
        <f t="shared" si="123"/>
        <v>39</v>
      </c>
      <c r="U128" s="87">
        <f t="shared" si="134"/>
        <v>39</v>
      </c>
      <c r="V128" s="87">
        <f t="shared" si="147"/>
        <v>39</v>
      </c>
      <c r="W128" s="87">
        <f>V128+2</f>
        <v>41</v>
      </c>
      <c r="X128" s="87">
        <f t="shared" si="135"/>
        <v>41</v>
      </c>
      <c r="Y128" s="87">
        <f t="shared" ref="Y128:Y159" si="152">X128+0</f>
        <v>41</v>
      </c>
      <c r="Z128" s="87">
        <f t="shared" si="117"/>
        <v>41</v>
      </c>
      <c r="AA128" s="87">
        <f t="shared" si="146"/>
        <v>41</v>
      </c>
      <c r="AB128" s="87">
        <f t="shared" si="131"/>
        <v>41</v>
      </c>
      <c r="AC128" s="87">
        <f t="shared" ref="AC128:AC159" si="153">AB128+0</f>
        <v>41</v>
      </c>
      <c r="AD128" s="87">
        <f t="shared" si="125"/>
        <v>41</v>
      </c>
      <c r="AE128" s="87">
        <f>AD128+4</f>
        <v>45</v>
      </c>
      <c r="AF128" s="87">
        <f t="shared" si="132"/>
        <v>45</v>
      </c>
      <c r="AG128" s="87">
        <f t="shared" si="141"/>
        <v>45</v>
      </c>
      <c r="AH128" s="87">
        <f t="shared" si="141"/>
        <v>45</v>
      </c>
      <c r="AI128" s="87">
        <f t="shared" si="138"/>
        <v>45</v>
      </c>
      <c r="AJ128" s="87">
        <f t="shared" si="138"/>
        <v>45</v>
      </c>
      <c r="AK128" s="87">
        <f t="shared" si="126"/>
        <v>45</v>
      </c>
      <c r="AL128" s="81">
        <v>150</v>
      </c>
      <c r="AM128" s="70">
        <v>1</v>
      </c>
      <c r="AN128" s="81" t="s">
        <v>358</v>
      </c>
      <c r="AO128" s="81" t="s">
        <v>354</v>
      </c>
      <c r="AP128" s="81">
        <v>1997</v>
      </c>
      <c r="AQ128" s="81" t="s">
        <v>355</v>
      </c>
      <c r="AR128" s="81"/>
    </row>
    <row r="129" spans="1:44" s="85" customFormat="1" x14ac:dyDescent="0.3">
      <c r="A129" s="67">
        <v>125</v>
      </c>
      <c r="B129" s="87">
        <v>0</v>
      </c>
      <c r="C129" s="87">
        <f t="shared" si="122"/>
        <v>0</v>
      </c>
      <c r="D129" s="87">
        <f>C129+0</f>
        <v>0</v>
      </c>
      <c r="E129" s="87">
        <f t="shared" si="142"/>
        <v>0</v>
      </c>
      <c r="F129" s="87">
        <f>E129+44</f>
        <v>44</v>
      </c>
      <c r="G129" s="87">
        <f t="shared" si="143"/>
        <v>44</v>
      </c>
      <c r="H129" s="87">
        <f t="shared" si="149"/>
        <v>44</v>
      </c>
      <c r="I129" s="87">
        <f t="shared" si="145"/>
        <v>44</v>
      </c>
      <c r="J129" s="87">
        <f t="shared" si="140"/>
        <v>44</v>
      </c>
      <c r="K129" s="87">
        <f t="shared" si="136"/>
        <v>44</v>
      </c>
      <c r="L129" s="87">
        <f>K129+20</f>
        <v>64</v>
      </c>
      <c r="M129" s="87">
        <f t="shared" si="128"/>
        <v>64</v>
      </c>
      <c r="N129" s="87">
        <f t="shared" si="129"/>
        <v>64</v>
      </c>
      <c r="O129" s="87">
        <f t="shared" si="150"/>
        <v>64</v>
      </c>
      <c r="P129" s="87">
        <f t="shared" si="133"/>
        <v>64</v>
      </c>
      <c r="Q129" s="87">
        <f t="shared" si="137"/>
        <v>64</v>
      </c>
      <c r="R129" s="87">
        <f t="shared" si="151"/>
        <v>64</v>
      </c>
      <c r="S129" s="87">
        <f>R129+46</f>
        <v>110</v>
      </c>
      <c r="T129" s="87">
        <f t="shared" si="123"/>
        <v>110</v>
      </c>
      <c r="U129" s="87">
        <f t="shared" si="134"/>
        <v>110</v>
      </c>
      <c r="V129" s="87">
        <f t="shared" si="147"/>
        <v>110</v>
      </c>
      <c r="W129" s="87">
        <f t="shared" ref="W129:W160" si="154">V129+0</f>
        <v>110</v>
      </c>
      <c r="X129" s="87">
        <f t="shared" si="135"/>
        <v>110</v>
      </c>
      <c r="Y129" s="87">
        <f t="shared" si="152"/>
        <v>110</v>
      </c>
      <c r="Z129" s="87">
        <f>Y129+13</f>
        <v>123</v>
      </c>
      <c r="AA129" s="87">
        <f t="shared" si="146"/>
        <v>123</v>
      </c>
      <c r="AB129" s="87">
        <f t="shared" si="131"/>
        <v>123</v>
      </c>
      <c r="AC129" s="87">
        <f t="shared" si="153"/>
        <v>123</v>
      </c>
      <c r="AD129" s="87">
        <f t="shared" si="125"/>
        <v>123</v>
      </c>
      <c r="AE129" s="87">
        <f t="shared" ref="AE129:AE153" si="155">AD129+0</f>
        <v>123</v>
      </c>
      <c r="AF129" s="87">
        <f>AE129+2</f>
        <v>125</v>
      </c>
      <c r="AG129" s="87">
        <f t="shared" si="141"/>
        <v>125</v>
      </c>
      <c r="AH129" s="87">
        <f t="shared" si="141"/>
        <v>125</v>
      </c>
      <c r="AI129" s="87">
        <f t="shared" si="138"/>
        <v>125</v>
      </c>
      <c r="AJ129" s="87">
        <f t="shared" si="138"/>
        <v>125</v>
      </c>
      <c r="AK129" s="87">
        <f t="shared" si="126"/>
        <v>125</v>
      </c>
      <c r="AL129" s="81">
        <v>90</v>
      </c>
      <c r="AM129" s="70">
        <v>2</v>
      </c>
      <c r="AN129" s="81" t="s">
        <v>358</v>
      </c>
      <c r="AO129" s="81" t="s">
        <v>354</v>
      </c>
      <c r="AP129" s="81">
        <v>1997</v>
      </c>
      <c r="AQ129" s="81" t="s">
        <v>355</v>
      </c>
      <c r="AR129" s="81"/>
    </row>
    <row r="130" spans="1:44" s="85" customFormat="1" x14ac:dyDescent="0.3">
      <c r="A130" s="67">
        <v>11</v>
      </c>
      <c r="B130" s="87">
        <v>0</v>
      </c>
      <c r="C130" s="87">
        <f t="shared" si="122"/>
        <v>0</v>
      </c>
      <c r="D130" s="87">
        <f>C130+0</f>
        <v>0</v>
      </c>
      <c r="E130" s="87">
        <f t="shared" si="142"/>
        <v>0</v>
      </c>
      <c r="F130" s="87">
        <f>E130+0</f>
        <v>0</v>
      </c>
      <c r="G130" s="87">
        <f t="shared" si="143"/>
        <v>0</v>
      </c>
      <c r="H130" s="87">
        <f t="shared" si="149"/>
        <v>0</v>
      </c>
      <c r="I130" s="87">
        <f t="shared" si="145"/>
        <v>0</v>
      </c>
      <c r="J130" s="87">
        <f t="shared" si="140"/>
        <v>0</v>
      </c>
      <c r="K130" s="87">
        <f>J130+5</f>
        <v>5</v>
      </c>
      <c r="L130" s="87">
        <f>K130+0</f>
        <v>5</v>
      </c>
      <c r="M130" s="87">
        <f t="shared" si="128"/>
        <v>5</v>
      </c>
      <c r="N130" s="87">
        <f t="shared" si="129"/>
        <v>5</v>
      </c>
      <c r="O130" s="87">
        <f t="shared" si="150"/>
        <v>5</v>
      </c>
      <c r="P130" s="87">
        <f t="shared" si="133"/>
        <v>5</v>
      </c>
      <c r="Q130" s="87">
        <f t="shared" si="137"/>
        <v>5</v>
      </c>
      <c r="R130" s="87">
        <f t="shared" si="151"/>
        <v>5</v>
      </c>
      <c r="S130" s="87">
        <f>R130+4</f>
        <v>9</v>
      </c>
      <c r="T130" s="87">
        <f t="shared" si="123"/>
        <v>9</v>
      </c>
      <c r="U130" s="87">
        <f t="shared" si="134"/>
        <v>9</v>
      </c>
      <c r="V130" s="87">
        <f t="shared" si="147"/>
        <v>9</v>
      </c>
      <c r="W130" s="87">
        <f t="shared" si="154"/>
        <v>9</v>
      </c>
      <c r="X130" s="87">
        <f t="shared" si="135"/>
        <v>9</v>
      </c>
      <c r="Y130" s="87">
        <f t="shared" si="152"/>
        <v>9</v>
      </c>
      <c r="Z130" s="87">
        <f>Y130+0</f>
        <v>9</v>
      </c>
      <c r="AA130" s="87">
        <f>Z130+2</f>
        <v>11</v>
      </c>
      <c r="AB130" s="87">
        <f t="shared" si="131"/>
        <v>11</v>
      </c>
      <c r="AC130" s="87">
        <f t="shared" si="153"/>
        <v>11</v>
      </c>
      <c r="AD130" s="87">
        <f t="shared" si="125"/>
        <v>11</v>
      </c>
      <c r="AE130" s="87">
        <f t="shared" si="155"/>
        <v>11</v>
      </c>
      <c r="AF130" s="87">
        <f t="shared" ref="AF130:AF138" si="156">AE130+0</f>
        <v>11</v>
      </c>
      <c r="AG130" s="87">
        <f t="shared" si="141"/>
        <v>11</v>
      </c>
      <c r="AH130" s="87">
        <f t="shared" si="141"/>
        <v>11</v>
      </c>
      <c r="AI130" s="87">
        <f t="shared" si="138"/>
        <v>11</v>
      </c>
      <c r="AJ130" s="87">
        <f t="shared" si="138"/>
        <v>11</v>
      </c>
      <c r="AK130" s="87">
        <f t="shared" si="126"/>
        <v>11</v>
      </c>
      <c r="AL130" s="81">
        <v>150</v>
      </c>
      <c r="AM130" s="70">
        <v>2</v>
      </c>
      <c r="AN130" s="81" t="s">
        <v>358</v>
      </c>
      <c r="AO130" s="81" t="s">
        <v>354</v>
      </c>
      <c r="AP130" s="81">
        <v>1997</v>
      </c>
      <c r="AQ130" s="81" t="s">
        <v>355</v>
      </c>
      <c r="AR130" s="81"/>
    </row>
    <row r="131" spans="1:44" s="85" customFormat="1" x14ac:dyDescent="0.3">
      <c r="A131" s="67">
        <v>62</v>
      </c>
      <c r="B131" s="87">
        <v>0</v>
      </c>
      <c r="C131" s="87">
        <f t="shared" si="122"/>
        <v>0</v>
      </c>
      <c r="D131" s="87">
        <f>C131+0</f>
        <v>0</v>
      </c>
      <c r="E131" s="87">
        <f t="shared" si="142"/>
        <v>0</v>
      </c>
      <c r="F131" s="87">
        <f>E131+0</f>
        <v>0</v>
      </c>
      <c r="G131" s="87">
        <f t="shared" si="143"/>
        <v>0</v>
      </c>
      <c r="H131" s="87">
        <f t="shared" si="149"/>
        <v>0</v>
      </c>
      <c r="I131" s="87">
        <f t="shared" si="145"/>
        <v>0</v>
      </c>
      <c r="J131" s="87">
        <f t="shared" si="140"/>
        <v>0</v>
      </c>
      <c r="K131" s="87">
        <f>J131+28</f>
        <v>28</v>
      </c>
      <c r="L131" s="87">
        <f>K131+0</f>
        <v>28</v>
      </c>
      <c r="M131" s="87">
        <f t="shared" si="128"/>
        <v>28</v>
      </c>
      <c r="N131" s="87">
        <f t="shared" si="129"/>
        <v>28</v>
      </c>
      <c r="O131" s="87">
        <f t="shared" si="150"/>
        <v>28</v>
      </c>
      <c r="P131" s="87">
        <f t="shared" si="133"/>
        <v>28</v>
      </c>
      <c r="Q131" s="87">
        <f t="shared" si="137"/>
        <v>28</v>
      </c>
      <c r="R131" s="87">
        <f t="shared" si="151"/>
        <v>28</v>
      </c>
      <c r="S131" s="87">
        <f>R131+21</f>
        <v>49</v>
      </c>
      <c r="T131" s="87">
        <f t="shared" si="123"/>
        <v>49</v>
      </c>
      <c r="U131" s="87">
        <f t="shared" si="134"/>
        <v>49</v>
      </c>
      <c r="V131" s="87">
        <f t="shared" si="147"/>
        <v>49</v>
      </c>
      <c r="W131" s="87">
        <f t="shared" si="154"/>
        <v>49</v>
      </c>
      <c r="X131" s="87">
        <f t="shared" si="135"/>
        <v>49</v>
      </c>
      <c r="Y131" s="87">
        <f t="shared" si="152"/>
        <v>49</v>
      </c>
      <c r="Z131" s="87">
        <f>Y131+13</f>
        <v>62</v>
      </c>
      <c r="AA131" s="87">
        <f t="shared" ref="AA131:AA162" si="157">Z131+0</f>
        <v>62</v>
      </c>
      <c r="AB131" s="87">
        <f t="shared" si="131"/>
        <v>62</v>
      </c>
      <c r="AC131" s="87">
        <f t="shared" si="153"/>
        <v>62</v>
      </c>
      <c r="AD131" s="87">
        <f t="shared" si="125"/>
        <v>62</v>
      </c>
      <c r="AE131" s="87">
        <f t="shared" si="155"/>
        <v>62</v>
      </c>
      <c r="AF131" s="87">
        <f t="shared" si="156"/>
        <v>62</v>
      </c>
      <c r="AG131" s="87">
        <f t="shared" si="141"/>
        <v>62</v>
      </c>
      <c r="AH131" s="87">
        <f t="shared" si="141"/>
        <v>62</v>
      </c>
      <c r="AI131" s="87">
        <f t="shared" si="138"/>
        <v>62</v>
      </c>
      <c r="AJ131" s="87">
        <f t="shared" si="138"/>
        <v>62</v>
      </c>
      <c r="AK131" s="87">
        <f t="shared" si="126"/>
        <v>62</v>
      </c>
      <c r="AL131" s="81">
        <v>90</v>
      </c>
      <c r="AM131" s="70">
        <v>3</v>
      </c>
      <c r="AN131" s="81" t="s">
        <v>358</v>
      </c>
      <c r="AO131" s="81" t="s">
        <v>354</v>
      </c>
      <c r="AP131" s="81">
        <v>1997</v>
      </c>
      <c r="AQ131" s="81" t="s">
        <v>355</v>
      </c>
      <c r="AR131" s="81"/>
    </row>
    <row r="132" spans="1:44" x14ac:dyDescent="0.3">
      <c r="A132" s="67">
        <v>45</v>
      </c>
      <c r="B132" s="87">
        <v>0</v>
      </c>
      <c r="C132" s="87">
        <f t="shared" si="122"/>
        <v>0</v>
      </c>
      <c r="D132" s="87">
        <f>C132+0</f>
        <v>0</v>
      </c>
      <c r="E132" s="87">
        <f t="shared" si="142"/>
        <v>0</v>
      </c>
      <c r="F132" s="87">
        <f>E132+6</f>
        <v>6</v>
      </c>
      <c r="G132" s="87">
        <f t="shared" si="143"/>
        <v>6</v>
      </c>
      <c r="H132" s="87">
        <f t="shared" si="149"/>
        <v>6</v>
      </c>
      <c r="I132" s="87">
        <f t="shared" si="145"/>
        <v>6</v>
      </c>
      <c r="J132" s="87">
        <f t="shared" si="140"/>
        <v>6</v>
      </c>
      <c r="K132" s="87">
        <f t="shared" ref="K132:K139" si="158">J132+0</f>
        <v>6</v>
      </c>
      <c r="L132" s="87">
        <f>K132+29</f>
        <v>35</v>
      </c>
      <c r="M132" s="87">
        <f t="shared" si="128"/>
        <v>35</v>
      </c>
      <c r="N132" s="87">
        <f t="shared" si="129"/>
        <v>35</v>
      </c>
      <c r="O132" s="87">
        <f t="shared" si="150"/>
        <v>35</v>
      </c>
      <c r="P132" s="87">
        <f t="shared" si="133"/>
        <v>35</v>
      </c>
      <c r="Q132" s="87">
        <f t="shared" si="137"/>
        <v>35</v>
      </c>
      <c r="R132" s="87">
        <f t="shared" si="151"/>
        <v>35</v>
      </c>
      <c r="S132" s="87">
        <f>R132+8</f>
        <v>43</v>
      </c>
      <c r="T132" s="87">
        <f t="shared" ref="T132:T150" si="159">S132+0</f>
        <v>43</v>
      </c>
      <c r="U132" s="87">
        <f t="shared" si="134"/>
        <v>43</v>
      </c>
      <c r="V132" s="87">
        <f t="shared" si="147"/>
        <v>43</v>
      </c>
      <c r="W132" s="87">
        <f t="shared" si="154"/>
        <v>43</v>
      </c>
      <c r="X132" s="87">
        <f t="shared" si="135"/>
        <v>43</v>
      </c>
      <c r="Y132" s="87">
        <f t="shared" si="152"/>
        <v>43</v>
      </c>
      <c r="Z132" s="87">
        <f>Y132+2</f>
        <v>45</v>
      </c>
      <c r="AA132" s="87">
        <f t="shared" si="157"/>
        <v>45</v>
      </c>
      <c r="AB132" s="87">
        <f t="shared" si="131"/>
        <v>45</v>
      </c>
      <c r="AC132" s="87">
        <f t="shared" si="153"/>
        <v>45</v>
      </c>
      <c r="AD132" s="87">
        <f t="shared" ref="AD132:AD163" si="160">AC132+0</f>
        <v>45</v>
      </c>
      <c r="AE132" s="87">
        <f t="shared" si="155"/>
        <v>45</v>
      </c>
      <c r="AF132" s="87">
        <f t="shared" si="156"/>
        <v>45</v>
      </c>
      <c r="AG132" s="87">
        <f t="shared" si="141"/>
        <v>45</v>
      </c>
      <c r="AH132" s="87">
        <f t="shared" si="141"/>
        <v>45</v>
      </c>
      <c r="AI132" s="87">
        <f t="shared" si="138"/>
        <v>45</v>
      </c>
      <c r="AJ132" s="87">
        <f t="shared" si="138"/>
        <v>45</v>
      </c>
      <c r="AK132" s="87">
        <f t="shared" ref="AK132:AK163" si="161">AJ132+0</f>
        <v>45</v>
      </c>
      <c r="AL132" s="81">
        <v>150</v>
      </c>
      <c r="AM132" s="4">
        <v>3</v>
      </c>
      <c r="AN132" s="15" t="s">
        <v>358</v>
      </c>
      <c r="AO132" s="15" t="s">
        <v>354</v>
      </c>
      <c r="AP132" s="15">
        <v>1997</v>
      </c>
      <c r="AQ132" s="15" t="s">
        <v>355</v>
      </c>
    </row>
    <row r="133" spans="1:44" s="85" customFormat="1" x14ac:dyDescent="0.3">
      <c r="A133" s="67">
        <v>11</v>
      </c>
      <c r="B133" s="87">
        <v>0</v>
      </c>
      <c r="C133" s="87">
        <f t="shared" si="122"/>
        <v>0</v>
      </c>
      <c r="D133" s="87">
        <f>C133+2</f>
        <v>2</v>
      </c>
      <c r="E133" s="87">
        <f t="shared" si="142"/>
        <v>2</v>
      </c>
      <c r="F133" s="87">
        <f>E133+2</f>
        <v>4</v>
      </c>
      <c r="G133" s="87">
        <f t="shared" si="143"/>
        <v>4</v>
      </c>
      <c r="H133" s="87">
        <f t="shared" si="149"/>
        <v>4</v>
      </c>
      <c r="I133" s="87">
        <f>H133+3</f>
        <v>7</v>
      </c>
      <c r="J133" s="87">
        <f t="shared" si="140"/>
        <v>7</v>
      </c>
      <c r="K133" s="87">
        <f t="shared" si="158"/>
        <v>7</v>
      </c>
      <c r="L133" s="87">
        <f t="shared" ref="L133:L143" si="162">K133+0</f>
        <v>7</v>
      </c>
      <c r="M133" s="87">
        <f t="shared" si="128"/>
        <v>7</v>
      </c>
      <c r="N133" s="87">
        <f>M133+1</f>
        <v>8</v>
      </c>
      <c r="O133" s="87">
        <f t="shared" si="150"/>
        <v>8</v>
      </c>
      <c r="P133" s="87">
        <f t="shared" si="133"/>
        <v>8</v>
      </c>
      <c r="Q133" s="87">
        <f t="shared" si="137"/>
        <v>8</v>
      </c>
      <c r="R133" s="87">
        <f t="shared" si="151"/>
        <v>8</v>
      </c>
      <c r="S133" s="87">
        <f>R133+3</f>
        <v>11</v>
      </c>
      <c r="T133" s="87">
        <f t="shared" si="159"/>
        <v>11</v>
      </c>
      <c r="U133" s="87">
        <f t="shared" si="134"/>
        <v>11</v>
      </c>
      <c r="V133" s="87">
        <f t="shared" si="147"/>
        <v>11</v>
      </c>
      <c r="W133" s="87">
        <f t="shared" si="154"/>
        <v>11</v>
      </c>
      <c r="X133" s="87">
        <f t="shared" si="135"/>
        <v>11</v>
      </c>
      <c r="Y133" s="87">
        <f t="shared" si="152"/>
        <v>11</v>
      </c>
      <c r="Z133" s="87">
        <f t="shared" ref="Z133:Z140" si="163">Y133+0</f>
        <v>11</v>
      </c>
      <c r="AA133" s="87">
        <f t="shared" si="157"/>
        <v>11</v>
      </c>
      <c r="AB133" s="87">
        <f t="shared" si="131"/>
        <v>11</v>
      </c>
      <c r="AC133" s="87">
        <f t="shared" si="153"/>
        <v>11</v>
      </c>
      <c r="AD133" s="87">
        <f t="shared" si="160"/>
        <v>11</v>
      </c>
      <c r="AE133" s="87">
        <f t="shared" si="155"/>
        <v>11</v>
      </c>
      <c r="AF133" s="87">
        <f t="shared" si="156"/>
        <v>11</v>
      </c>
      <c r="AG133" s="87">
        <f t="shared" si="141"/>
        <v>11</v>
      </c>
      <c r="AH133" s="87">
        <f t="shared" si="141"/>
        <v>11</v>
      </c>
      <c r="AI133" s="87">
        <f t="shared" si="138"/>
        <v>11</v>
      </c>
      <c r="AJ133" s="87">
        <f t="shared" si="138"/>
        <v>11</v>
      </c>
      <c r="AK133" s="87">
        <f t="shared" si="161"/>
        <v>11</v>
      </c>
      <c r="AL133" s="81">
        <v>210</v>
      </c>
      <c r="AM133" s="70">
        <v>1</v>
      </c>
      <c r="AN133" s="81" t="s">
        <v>160</v>
      </c>
      <c r="AO133" s="81" t="s">
        <v>161</v>
      </c>
      <c r="AP133" s="81">
        <v>1997</v>
      </c>
      <c r="AQ133" s="81" t="s">
        <v>162</v>
      </c>
      <c r="AR133" s="81"/>
    </row>
    <row r="134" spans="1:44" x14ac:dyDescent="0.3">
      <c r="A134" s="1">
        <v>4</v>
      </c>
      <c r="B134" s="87">
        <v>0</v>
      </c>
      <c r="C134" s="87">
        <f>B134+3</f>
        <v>3</v>
      </c>
      <c r="D134" s="87">
        <f t="shared" ref="D134:D146" si="164">C134+0</f>
        <v>3</v>
      </c>
      <c r="E134" s="87">
        <f t="shared" si="142"/>
        <v>3</v>
      </c>
      <c r="F134" s="87">
        <f t="shared" ref="F134:F150" si="165">E134+0</f>
        <v>3</v>
      </c>
      <c r="G134" s="87">
        <f t="shared" si="143"/>
        <v>3</v>
      </c>
      <c r="H134" s="87">
        <f t="shared" si="149"/>
        <v>3</v>
      </c>
      <c r="I134" s="87">
        <f>H134+0</f>
        <v>3</v>
      </c>
      <c r="J134" s="87">
        <f t="shared" si="140"/>
        <v>3</v>
      </c>
      <c r="K134" s="87">
        <f t="shared" si="158"/>
        <v>3</v>
      </c>
      <c r="L134" s="87">
        <f t="shared" si="162"/>
        <v>3</v>
      </c>
      <c r="M134" s="87">
        <f t="shared" si="128"/>
        <v>3</v>
      </c>
      <c r="N134" s="87">
        <f>M134+1</f>
        <v>4</v>
      </c>
      <c r="O134" s="87">
        <f t="shared" si="150"/>
        <v>4</v>
      </c>
      <c r="P134" s="87">
        <f t="shared" si="133"/>
        <v>4</v>
      </c>
      <c r="Q134" s="87">
        <f t="shared" si="137"/>
        <v>4</v>
      </c>
      <c r="R134" s="87">
        <f t="shared" si="151"/>
        <v>4</v>
      </c>
      <c r="S134" s="87">
        <f>R134+0</f>
        <v>4</v>
      </c>
      <c r="T134" s="87">
        <f t="shared" si="159"/>
        <v>4</v>
      </c>
      <c r="U134" s="87">
        <f t="shared" si="134"/>
        <v>4</v>
      </c>
      <c r="V134" s="87">
        <f t="shared" si="147"/>
        <v>4</v>
      </c>
      <c r="W134" s="87">
        <f t="shared" si="154"/>
        <v>4</v>
      </c>
      <c r="X134" s="87">
        <f t="shared" si="135"/>
        <v>4</v>
      </c>
      <c r="Y134" s="87">
        <f t="shared" si="152"/>
        <v>4</v>
      </c>
      <c r="Z134" s="87">
        <f t="shared" si="163"/>
        <v>4</v>
      </c>
      <c r="AA134" s="87">
        <f t="shared" si="157"/>
        <v>4</v>
      </c>
      <c r="AB134" s="87">
        <f t="shared" si="131"/>
        <v>4</v>
      </c>
      <c r="AC134" s="87">
        <f t="shared" si="153"/>
        <v>4</v>
      </c>
      <c r="AD134" s="87">
        <f t="shared" si="160"/>
        <v>4</v>
      </c>
      <c r="AE134" s="87">
        <f t="shared" si="155"/>
        <v>4</v>
      </c>
      <c r="AF134" s="87">
        <f t="shared" si="156"/>
        <v>4</v>
      </c>
      <c r="AG134" s="87">
        <f t="shared" si="141"/>
        <v>4</v>
      </c>
      <c r="AH134" s="87">
        <f t="shared" si="141"/>
        <v>4</v>
      </c>
      <c r="AI134" s="87">
        <f t="shared" si="138"/>
        <v>4</v>
      </c>
      <c r="AJ134" s="87">
        <f t="shared" si="138"/>
        <v>4</v>
      </c>
      <c r="AK134" s="87">
        <f t="shared" si="161"/>
        <v>4</v>
      </c>
      <c r="AL134" s="15">
        <v>270</v>
      </c>
      <c r="AM134" s="4">
        <v>1</v>
      </c>
      <c r="AN134" s="81" t="s">
        <v>160</v>
      </c>
      <c r="AO134" s="15" t="s">
        <v>161</v>
      </c>
      <c r="AP134" s="15">
        <v>1997</v>
      </c>
      <c r="AQ134" s="15" t="s">
        <v>162</v>
      </c>
    </row>
    <row r="135" spans="1:44" x14ac:dyDescent="0.3">
      <c r="A135" s="1">
        <v>10</v>
      </c>
      <c r="B135" s="87">
        <v>0</v>
      </c>
      <c r="C135" s="87">
        <f>B135+0</f>
        <v>0</v>
      </c>
      <c r="D135" s="87">
        <f t="shared" si="164"/>
        <v>0</v>
      </c>
      <c r="E135" s="87">
        <f t="shared" si="142"/>
        <v>0</v>
      </c>
      <c r="F135" s="87">
        <f t="shared" si="165"/>
        <v>0</v>
      </c>
      <c r="G135" s="87">
        <f t="shared" si="143"/>
        <v>0</v>
      </c>
      <c r="H135" s="87">
        <f t="shared" si="149"/>
        <v>0</v>
      </c>
      <c r="I135" s="87">
        <f>H135+4</f>
        <v>4</v>
      </c>
      <c r="J135" s="87">
        <f t="shared" si="140"/>
        <v>4</v>
      </c>
      <c r="K135" s="87">
        <f t="shared" si="158"/>
        <v>4</v>
      </c>
      <c r="L135" s="87">
        <f t="shared" si="162"/>
        <v>4</v>
      </c>
      <c r="M135" s="87">
        <f t="shared" si="128"/>
        <v>4</v>
      </c>
      <c r="N135" s="87">
        <f>M135+0</f>
        <v>4</v>
      </c>
      <c r="O135" s="87">
        <f t="shared" si="150"/>
        <v>4</v>
      </c>
      <c r="P135" s="87">
        <f t="shared" si="133"/>
        <v>4</v>
      </c>
      <c r="Q135" s="87">
        <f>P135+2</f>
        <v>6</v>
      </c>
      <c r="R135" s="87">
        <f t="shared" si="151"/>
        <v>6</v>
      </c>
      <c r="S135" s="87">
        <f>R135+4</f>
        <v>10</v>
      </c>
      <c r="T135" s="87">
        <f t="shared" si="159"/>
        <v>10</v>
      </c>
      <c r="U135" s="87">
        <f t="shared" si="134"/>
        <v>10</v>
      </c>
      <c r="V135" s="87">
        <f t="shared" si="147"/>
        <v>10</v>
      </c>
      <c r="W135" s="87">
        <f t="shared" si="154"/>
        <v>10</v>
      </c>
      <c r="X135" s="87">
        <f t="shared" si="135"/>
        <v>10</v>
      </c>
      <c r="Y135" s="87">
        <f t="shared" si="152"/>
        <v>10</v>
      </c>
      <c r="Z135" s="87">
        <f t="shared" si="163"/>
        <v>10</v>
      </c>
      <c r="AA135" s="87">
        <f t="shared" si="157"/>
        <v>10</v>
      </c>
      <c r="AB135" s="87">
        <f t="shared" si="131"/>
        <v>10</v>
      </c>
      <c r="AC135" s="87">
        <f t="shared" si="153"/>
        <v>10</v>
      </c>
      <c r="AD135" s="87">
        <f t="shared" si="160"/>
        <v>10</v>
      </c>
      <c r="AE135" s="87">
        <f t="shared" si="155"/>
        <v>10</v>
      </c>
      <c r="AF135" s="87">
        <f t="shared" si="156"/>
        <v>10</v>
      </c>
      <c r="AG135" s="87">
        <f t="shared" si="141"/>
        <v>10</v>
      </c>
      <c r="AH135" s="87">
        <f t="shared" si="141"/>
        <v>10</v>
      </c>
      <c r="AI135" s="87">
        <f t="shared" ref="AI135:AJ152" si="166">AH135+0</f>
        <v>10</v>
      </c>
      <c r="AJ135" s="87">
        <f t="shared" si="166"/>
        <v>10</v>
      </c>
      <c r="AK135" s="87">
        <f t="shared" si="161"/>
        <v>10</v>
      </c>
      <c r="AL135" s="81">
        <v>210</v>
      </c>
      <c r="AM135" s="4">
        <v>2</v>
      </c>
      <c r="AN135" s="81" t="s">
        <v>160</v>
      </c>
      <c r="AO135" s="15" t="s">
        <v>161</v>
      </c>
      <c r="AP135" s="15">
        <v>1997</v>
      </c>
      <c r="AQ135" s="15" t="s">
        <v>162</v>
      </c>
    </row>
    <row r="136" spans="1:44" x14ac:dyDescent="0.3">
      <c r="A136" s="1">
        <v>3</v>
      </c>
      <c r="B136" s="87">
        <v>3</v>
      </c>
      <c r="C136" s="87">
        <f>B136+0</f>
        <v>3</v>
      </c>
      <c r="D136" s="87">
        <f t="shared" si="164"/>
        <v>3</v>
      </c>
      <c r="E136" s="87">
        <f t="shared" si="142"/>
        <v>3</v>
      </c>
      <c r="F136" s="87">
        <f t="shared" si="165"/>
        <v>3</v>
      </c>
      <c r="G136" s="87">
        <f t="shared" si="143"/>
        <v>3</v>
      </c>
      <c r="H136" s="87">
        <f t="shared" si="149"/>
        <v>3</v>
      </c>
      <c r="I136" s="87">
        <f>H136+0</f>
        <v>3</v>
      </c>
      <c r="J136" s="87">
        <f t="shared" si="140"/>
        <v>3</v>
      </c>
      <c r="K136" s="87">
        <f t="shared" si="158"/>
        <v>3</v>
      </c>
      <c r="L136" s="87">
        <f t="shared" si="162"/>
        <v>3</v>
      </c>
      <c r="M136" s="87">
        <f t="shared" si="128"/>
        <v>3</v>
      </c>
      <c r="N136" s="87">
        <f>M136+0</f>
        <v>3</v>
      </c>
      <c r="O136" s="87">
        <f t="shared" si="150"/>
        <v>3</v>
      </c>
      <c r="P136" s="87">
        <f t="shared" si="133"/>
        <v>3</v>
      </c>
      <c r="Q136" s="87">
        <f t="shared" ref="Q136:Q146" si="167">P136+0</f>
        <v>3</v>
      </c>
      <c r="R136" s="87">
        <f t="shared" si="151"/>
        <v>3</v>
      </c>
      <c r="S136" s="87">
        <f>R136+0</f>
        <v>3</v>
      </c>
      <c r="T136" s="87">
        <f t="shared" si="159"/>
        <v>3</v>
      </c>
      <c r="U136" s="87">
        <f t="shared" si="134"/>
        <v>3</v>
      </c>
      <c r="V136" s="87">
        <f t="shared" si="147"/>
        <v>3</v>
      </c>
      <c r="W136" s="87">
        <f t="shared" si="154"/>
        <v>3</v>
      </c>
      <c r="X136" s="87">
        <f t="shared" si="135"/>
        <v>3</v>
      </c>
      <c r="Y136" s="87">
        <f t="shared" si="152"/>
        <v>3</v>
      </c>
      <c r="Z136" s="87">
        <f t="shared" si="163"/>
        <v>3</v>
      </c>
      <c r="AA136" s="87">
        <f t="shared" si="157"/>
        <v>3</v>
      </c>
      <c r="AB136" s="87">
        <f t="shared" ref="AB136:AB167" si="168">AA136+0</f>
        <v>3</v>
      </c>
      <c r="AC136" s="87">
        <f t="shared" si="153"/>
        <v>3</v>
      </c>
      <c r="AD136" s="87">
        <f t="shared" si="160"/>
        <v>3</v>
      </c>
      <c r="AE136" s="87">
        <f t="shared" si="155"/>
        <v>3</v>
      </c>
      <c r="AF136" s="87">
        <f t="shared" si="156"/>
        <v>3</v>
      </c>
      <c r="AG136" s="87">
        <f t="shared" si="141"/>
        <v>3</v>
      </c>
      <c r="AH136" s="87">
        <f t="shared" si="141"/>
        <v>3</v>
      </c>
      <c r="AI136" s="87">
        <f t="shared" si="166"/>
        <v>3</v>
      </c>
      <c r="AJ136" s="87">
        <f t="shared" si="166"/>
        <v>3</v>
      </c>
      <c r="AK136" s="87">
        <f t="shared" si="161"/>
        <v>3</v>
      </c>
      <c r="AL136" s="81">
        <v>270</v>
      </c>
      <c r="AM136" s="4">
        <v>2</v>
      </c>
      <c r="AN136" s="81" t="s">
        <v>160</v>
      </c>
      <c r="AO136" s="15" t="s">
        <v>161</v>
      </c>
      <c r="AP136" s="15">
        <v>1997</v>
      </c>
      <c r="AQ136" s="15" t="s">
        <v>162</v>
      </c>
    </row>
    <row r="137" spans="1:44" x14ac:dyDescent="0.3">
      <c r="A137" s="67">
        <v>1</v>
      </c>
      <c r="B137" s="87">
        <v>0</v>
      </c>
      <c r="C137" s="87">
        <f>B137+0</f>
        <v>0</v>
      </c>
      <c r="D137" s="87">
        <f t="shared" si="164"/>
        <v>0</v>
      </c>
      <c r="E137" s="87">
        <f t="shared" si="142"/>
        <v>0</v>
      </c>
      <c r="F137" s="87">
        <f t="shared" si="165"/>
        <v>0</v>
      </c>
      <c r="G137" s="87">
        <f t="shared" si="143"/>
        <v>0</v>
      </c>
      <c r="H137" s="87">
        <f t="shared" si="149"/>
        <v>0</v>
      </c>
      <c r="I137" s="87">
        <f>H137+0</f>
        <v>0</v>
      </c>
      <c r="J137" s="87">
        <f t="shared" si="140"/>
        <v>0</v>
      </c>
      <c r="K137" s="87">
        <f t="shared" si="158"/>
        <v>0</v>
      </c>
      <c r="L137" s="87">
        <f t="shared" si="162"/>
        <v>0</v>
      </c>
      <c r="M137" s="87">
        <f t="shared" si="128"/>
        <v>0</v>
      </c>
      <c r="N137" s="87">
        <f>M137+1</f>
        <v>1</v>
      </c>
      <c r="O137" s="87">
        <f t="shared" si="150"/>
        <v>1</v>
      </c>
      <c r="P137" s="87">
        <f t="shared" ref="P137:P148" si="169">O137+0</f>
        <v>1</v>
      </c>
      <c r="Q137" s="87">
        <f t="shared" si="167"/>
        <v>1</v>
      </c>
      <c r="R137" s="87">
        <f t="shared" si="151"/>
        <v>1</v>
      </c>
      <c r="S137" s="87">
        <f>R137+0</f>
        <v>1</v>
      </c>
      <c r="T137" s="87">
        <f t="shared" si="159"/>
        <v>1</v>
      </c>
      <c r="U137" s="87">
        <f t="shared" ref="U137:U166" si="170">T137+0</f>
        <v>1</v>
      </c>
      <c r="V137" s="87">
        <f t="shared" si="147"/>
        <v>1</v>
      </c>
      <c r="W137" s="87">
        <f t="shared" si="154"/>
        <v>1</v>
      </c>
      <c r="X137" s="87">
        <f t="shared" ref="X137:X151" si="171">W137+0</f>
        <v>1</v>
      </c>
      <c r="Y137" s="87">
        <f t="shared" si="152"/>
        <v>1</v>
      </c>
      <c r="Z137" s="87">
        <f t="shared" si="163"/>
        <v>1</v>
      </c>
      <c r="AA137" s="87">
        <f t="shared" si="157"/>
        <v>1</v>
      </c>
      <c r="AB137" s="87">
        <f t="shared" si="168"/>
        <v>1</v>
      </c>
      <c r="AC137" s="87">
        <f t="shared" si="153"/>
        <v>1</v>
      </c>
      <c r="AD137" s="87">
        <f t="shared" si="160"/>
        <v>1</v>
      </c>
      <c r="AE137" s="87">
        <f t="shared" si="155"/>
        <v>1</v>
      </c>
      <c r="AF137" s="87">
        <f t="shared" si="156"/>
        <v>1</v>
      </c>
      <c r="AG137" s="87">
        <f t="shared" si="141"/>
        <v>1</v>
      </c>
      <c r="AH137" s="87">
        <f t="shared" si="141"/>
        <v>1</v>
      </c>
      <c r="AI137" s="87">
        <f t="shared" si="166"/>
        <v>1</v>
      </c>
      <c r="AJ137" s="87">
        <f t="shared" si="166"/>
        <v>1</v>
      </c>
      <c r="AK137" s="87">
        <f t="shared" si="161"/>
        <v>1</v>
      </c>
      <c r="AL137" s="81">
        <v>210</v>
      </c>
      <c r="AM137" s="4">
        <v>3</v>
      </c>
      <c r="AN137" s="81" t="s">
        <v>160</v>
      </c>
      <c r="AO137" s="81" t="s">
        <v>161</v>
      </c>
      <c r="AP137" s="81">
        <v>1997</v>
      </c>
      <c r="AQ137" s="81" t="s">
        <v>162</v>
      </c>
    </row>
    <row r="138" spans="1:44" x14ac:dyDescent="0.3">
      <c r="A138" s="67">
        <v>5</v>
      </c>
      <c r="B138" s="87">
        <v>0</v>
      </c>
      <c r="C138" s="87">
        <f>B138+0</f>
        <v>0</v>
      </c>
      <c r="D138" s="87">
        <f t="shared" si="164"/>
        <v>0</v>
      </c>
      <c r="E138" s="87">
        <f t="shared" si="142"/>
        <v>0</v>
      </c>
      <c r="F138" s="87">
        <f t="shared" si="165"/>
        <v>0</v>
      </c>
      <c r="G138" s="87">
        <f t="shared" si="143"/>
        <v>0</v>
      </c>
      <c r="H138" s="87">
        <f t="shared" si="149"/>
        <v>0</v>
      </c>
      <c r="I138" s="87">
        <f>H138+1</f>
        <v>1</v>
      </c>
      <c r="J138" s="87">
        <f t="shared" si="140"/>
        <v>1</v>
      </c>
      <c r="K138" s="87">
        <f t="shared" si="158"/>
        <v>1</v>
      </c>
      <c r="L138" s="87">
        <f t="shared" si="162"/>
        <v>1</v>
      </c>
      <c r="M138" s="87">
        <f t="shared" si="128"/>
        <v>1</v>
      </c>
      <c r="N138" s="87">
        <f>M138+4</f>
        <v>5</v>
      </c>
      <c r="O138" s="87">
        <f t="shared" si="150"/>
        <v>5</v>
      </c>
      <c r="P138" s="87">
        <f t="shared" si="169"/>
        <v>5</v>
      </c>
      <c r="Q138" s="87">
        <f t="shared" si="167"/>
        <v>5</v>
      </c>
      <c r="R138" s="87">
        <f t="shared" si="151"/>
        <v>5</v>
      </c>
      <c r="S138" s="87">
        <f>R138+0</f>
        <v>5</v>
      </c>
      <c r="T138" s="87">
        <f t="shared" si="159"/>
        <v>5</v>
      </c>
      <c r="U138" s="87">
        <f t="shared" si="170"/>
        <v>5</v>
      </c>
      <c r="V138" s="87">
        <f t="shared" si="147"/>
        <v>5</v>
      </c>
      <c r="W138" s="87">
        <f t="shared" si="154"/>
        <v>5</v>
      </c>
      <c r="X138" s="87">
        <f t="shared" si="171"/>
        <v>5</v>
      </c>
      <c r="Y138" s="87">
        <f t="shared" si="152"/>
        <v>5</v>
      </c>
      <c r="Z138" s="87">
        <f t="shared" si="163"/>
        <v>5</v>
      </c>
      <c r="AA138" s="87">
        <f t="shared" si="157"/>
        <v>5</v>
      </c>
      <c r="AB138" s="87">
        <f t="shared" si="168"/>
        <v>5</v>
      </c>
      <c r="AC138" s="87">
        <f t="shared" si="153"/>
        <v>5</v>
      </c>
      <c r="AD138" s="87">
        <f t="shared" si="160"/>
        <v>5</v>
      </c>
      <c r="AE138" s="87">
        <f t="shared" si="155"/>
        <v>5</v>
      </c>
      <c r="AF138" s="87">
        <f t="shared" si="156"/>
        <v>5</v>
      </c>
      <c r="AG138" s="87">
        <f t="shared" ref="AG138:AH157" si="172">AF138+0</f>
        <v>5</v>
      </c>
      <c r="AH138" s="87">
        <f t="shared" si="172"/>
        <v>5</v>
      </c>
      <c r="AI138" s="87">
        <f t="shared" si="166"/>
        <v>5</v>
      </c>
      <c r="AJ138" s="87">
        <f t="shared" si="166"/>
        <v>5</v>
      </c>
      <c r="AK138" s="87">
        <f t="shared" si="161"/>
        <v>5</v>
      </c>
      <c r="AL138" s="81">
        <v>240</v>
      </c>
      <c r="AM138" s="4">
        <v>3</v>
      </c>
      <c r="AN138" s="81" t="s">
        <v>160</v>
      </c>
      <c r="AO138" s="81" t="s">
        <v>161</v>
      </c>
      <c r="AP138" s="81">
        <v>1997</v>
      </c>
      <c r="AQ138" s="81" t="s">
        <v>162</v>
      </c>
    </row>
    <row r="139" spans="1:44" x14ac:dyDescent="0.3">
      <c r="A139" s="67">
        <v>3</v>
      </c>
      <c r="B139" s="87">
        <v>0</v>
      </c>
      <c r="C139" s="87">
        <f>B139+0</f>
        <v>0</v>
      </c>
      <c r="D139" s="87">
        <f t="shared" si="164"/>
        <v>0</v>
      </c>
      <c r="E139" s="87">
        <f t="shared" si="142"/>
        <v>0</v>
      </c>
      <c r="F139" s="87">
        <f t="shared" si="165"/>
        <v>0</v>
      </c>
      <c r="G139" s="87">
        <f t="shared" si="143"/>
        <v>0</v>
      </c>
      <c r="H139" s="87">
        <f t="shared" si="149"/>
        <v>0</v>
      </c>
      <c r="I139" s="87">
        <f>H139+0</f>
        <v>0</v>
      </c>
      <c r="J139" s="87">
        <f t="shared" si="140"/>
        <v>0</v>
      </c>
      <c r="K139" s="87">
        <f t="shared" si="158"/>
        <v>0</v>
      </c>
      <c r="L139" s="87">
        <f t="shared" si="162"/>
        <v>0</v>
      </c>
      <c r="M139" s="87">
        <f t="shared" si="128"/>
        <v>0</v>
      </c>
      <c r="N139" s="87">
        <f t="shared" ref="N139:N166" si="173">M139+0</f>
        <v>0</v>
      </c>
      <c r="O139" s="87">
        <f t="shared" si="150"/>
        <v>0</v>
      </c>
      <c r="P139" s="87">
        <f t="shared" si="169"/>
        <v>0</v>
      </c>
      <c r="Q139" s="87">
        <f t="shared" si="167"/>
        <v>0</v>
      </c>
      <c r="R139" s="87">
        <f t="shared" si="151"/>
        <v>0</v>
      </c>
      <c r="S139" s="87">
        <f>R139+2</f>
        <v>2</v>
      </c>
      <c r="T139" s="87">
        <f t="shared" si="159"/>
        <v>2</v>
      </c>
      <c r="U139" s="87">
        <f t="shared" si="170"/>
        <v>2</v>
      </c>
      <c r="V139" s="87">
        <f t="shared" si="147"/>
        <v>2</v>
      </c>
      <c r="W139" s="87">
        <f t="shared" si="154"/>
        <v>2</v>
      </c>
      <c r="X139" s="87">
        <f t="shared" si="171"/>
        <v>2</v>
      </c>
      <c r="Y139" s="87">
        <f t="shared" si="152"/>
        <v>2</v>
      </c>
      <c r="Z139" s="87">
        <f t="shared" si="163"/>
        <v>2</v>
      </c>
      <c r="AA139" s="87">
        <f t="shared" si="157"/>
        <v>2</v>
      </c>
      <c r="AB139" s="87">
        <f t="shared" si="168"/>
        <v>2</v>
      </c>
      <c r="AC139" s="87">
        <f t="shared" si="153"/>
        <v>2</v>
      </c>
      <c r="AD139" s="87">
        <f t="shared" si="160"/>
        <v>2</v>
      </c>
      <c r="AE139" s="87">
        <f t="shared" si="155"/>
        <v>2</v>
      </c>
      <c r="AF139" s="87">
        <f>AE139+1</f>
        <v>3</v>
      </c>
      <c r="AG139" s="87">
        <f t="shared" si="172"/>
        <v>3</v>
      </c>
      <c r="AH139" s="87">
        <f t="shared" si="172"/>
        <v>3</v>
      </c>
      <c r="AI139" s="87">
        <f t="shared" si="166"/>
        <v>3</v>
      </c>
      <c r="AJ139" s="87">
        <f t="shared" si="166"/>
        <v>3</v>
      </c>
      <c r="AK139" s="87">
        <f t="shared" si="161"/>
        <v>3</v>
      </c>
      <c r="AL139" s="81">
        <v>270</v>
      </c>
      <c r="AM139" s="4">
        <v>3</v>
      </c>
      <c r="AN139" s="81" t="s">
        <v>160</v>
      </c>
      <c r="AO139" s="81" t="s">
        <v>161</v>
      </c>
      <c r="AP139" s="81">
        <v>1997</v>
      </c>
      <c r="AQ139" s="81" t="s">
        <v>162</v>
      </c>
    </row>
    <row r="140" spans="1:44" x14ac:dyDescent="0.3">
      <c r="A140" s="67">
        <v>28</v>
      </c>
      <c r="B140" s="87">
        <v>0</v>
      </c>
      <c r="C140" s="87">
        <f>B140+5</f>
        <v>5</v>
      </c>
      <c r="D140" s="87">
        <f t="shared" si="164"/>
        <v>5</v>
      </c>
      <c r="E140" s="87">
        <f>D140+3</f>
        <v>8</v>
      </c>
      <c r="F140" s="87">
        <f t="shared" si="165"/>
        <v>8</v>
      </c>
      <c r="G140" s="87">
        <f>F140+6</f>
        <v>14</v>
      </c>
      <c r="H140" s="87">
        <f t="shared" si="149"/>
        <v>14</v>
      </c>
      <c r="I140" s="87">
        <f>H140+12</f>
        <v>26</v>
      </c>
      <c r="J140" s="87">
        <f t="shared" si="140"/>
        <v>26</v>
      </c>
      <c r="K140" s="87">
        <f>J140+2</f>
        <v>28</v>
      </c>
      <c r="L140" s="87">
        <f t="shared" si="162"/>
        <v>28</v>
      </c>
      <c r="M140" s="87">
        <f t="shared" si="128"/>
        <v>28</v>
      </c>
      <c r="N140" s="87">
        <f t="shared" si="173"/>
        <v>28</v>
      </c>
      <c r="O140" s="87">
        <f t="shared" si="150"/>
        <v>28</v>
      </c>
      <c r="P140" s="87">
        <f t="shared" si="169"/>
        <v>28</v>
      </c>
      <c r="Q140" s="87">
        <f t="shared" si="167"/>
        <v>28</v>
      </c>
      <c r="R140" s="87">
        <f t="shared" si="151"/>
        <v>28</v>
      </c>
      <c r="S140" s="87">
        <f>R140+0</f>
        <v>28</v>
      </c>
      <c r="T140" s="87">
        <f t="shared" si="159"/>
        <v>28</v>
      </c>
      <c r="U140" s="87">
        <f t="shared" si="170"/>
        <v>28</v>
      </c>
      <c r="V140" s="87">
        <f t="shared" si="147"/>
        <v>28</v>
      </c>
      <c r="W140" s="87">
        <f t="shared" si="154"/>
        <v>28</v>
      </c>
      <c r="X140" s="87">
        <f t="shared" si="171"/>
        <v>28</v>
      </c>
      <c r="Y140" s="87">
        <f t="shared" si="152"/>
        <v>28</v>
      </c>
      <c r="Z140" s="87">
        <f t="shared" si="163"/>
        <v>28</v>
      </c>
      <c r="AA140" s="87">
        <f t="shared" si="157"/>
        <v>28</v>
      </c>
      <c r="AB140" s="87">
        <f t="shared" si="168"/>
        <v>28</v>
      </c>
      <c r="AC140" s="87">
        <f t="shared" si="153"/>
        <v>28</v>
      </c>
      <c r="AD140" s="87">
        <f t="shared" si="160"/>
        <v>28</v>
      </c>
      <c r="AE140" s="87">
        <f t="shared" si="155"/>
        <v>28</v>
      </c>
      <c r="AF140" s="87">
        <f t="shared" ref="AF140:AF156" si="174">AE140+0</f>
        <v>28</v>
      </c>
      <c r="AG140" s="87">
        <f t="shared" si="172"/>
        <v>28</v>
      </c>
      <c r="AH140" s="87">
        <f t="shared" si="172"/>
        <v>28</v>
      </c>
      <c r="AI140" s="87">
        <f t="shared" si="166"/>
        <v>28</v>
      </c>
      <c r="AJ140" s="87">
        <f t="shared" si="166"/>
        <v>28</v>
      </c>
      <c r="AK140" s="87">
        <f t="shared" si="161"/>
        <v>28</v>
      </c>
      <c r="AL140" s="81">
        <v>1825</v>
      </c>
      <c r="AM140" s="4">
        <v>1</v>
      </c>
      <c r="AN140" s="81" t="s">
        <v>423</v>
      </c>
      <c r="AO140" s="81" t="s">
        <v>421</v>
      </c>
      <c r="AP140" s="81">
        <v>1962</v>
      </c>
      <c r="AQ140" s="81" t="s">
        <v>422</v>
      </c>
    </row>
    <row r="141" spans="1:44" x14ac:dyDescent="0.3">
      <c r="A141" s="67">
        <v>39</v>
      </c>
      <c r="B141" s="87">
        <v>0</v>
      </c>
      <c r="C141" s="87">
        <f>B141+0</f>
        <v>0</v>
      </c>
      <c r="D141" s="87">
        <f t="shared" si="164"/>
        <v>0</v>
      </c>
      <c r="E141" s="87">
        <f>D141+0</f>
        <v>0</v>
      </c>
      <c r="F141" s="87">
        <f t="shared" si="165"/>
        <v>0</v>
      </c>
      <c r="G141" s="87">
        <f>F141+0</f>
        <v>0</v>
      </c>
      <c r="H141" s="87">
        <f>G141+1</f>
        <v>1</v>
      </c>
      <c r="I141" s="87">
        <f>H141+0</f>
        <v>1</v>
      </c>
      <c r="J141" s="87">
        <f t="shared" si="140"/>
        <v>1</v>
      </c>
      <c r="K141" s="87">
        <f t="shared" ref="K141:K172" si="175">J141+0</f>
        <v>1</v>
      </c>
      <c r="L141" s="87">
        <f t="shared" si="162"/>
        <v>1</v>
      </c>
      <c r="M141" s="87">
        <f t="shared" si="128"/>
        <v>1</v>
      </c>
      <c r="N141" s="87">
        <f t="shared" si="173"/>
        <v>1</v>
      </c>
      <c r="O141" s="87">
        <f>N141+6</f>
        <v>7</v>
      </c>
      <c r="P141" s="87">
        <f t="shared" si="169"/>
        <v>7</v>
      </c>
      <c r="Q141" s="87">
        <f t="shared" si="167"/>
        <v>7</v>
      </c>
      <c r="R141" s="87">
        <f t="shared" si="151"/>
        <v>7</v>
      </c>
      <c r="S141" s="87">
        <f>R141+8</f>
        <v>15</v>
      </c>
      <c r="T141" s="87">
        <f t="shared" si="159"/>
        <v>15</v>
      </c>
      <c r="U141" s="87">
        <f t="shared" si="170"/>
        <v>15</v>
      </c>
      <c r="V141" s="87">
        <f>U141+13</f>
        <v>28</v>
      </c>
      <c r="W141" s="87">
        <f t="shared" si="154"/>
        <v>28</v>
      </c>
      <c r="X141" s="87">
        <f t="shared" si="171"/>
        <v>28</v>
      </c>
      <c r="Y141" s="87">
        <f t="shared" si="152"/>
        <v>28</v>
      </c>
      <c r="Z141" s="87">
        <f>Y141+11</f>
        <v>39</v>
      </c>
      <c r="AA141" s="87">
        <f t="shared" si="157"/>
        <v>39</v>
      </c>
      <c r="AB141" s="87">
        <f t="shared" si="168"/>
        <v>39</v>
      </c>
      <c r="AC141" s="87">
        <f t="shared" si="153"/>
        <v>39</v>
      </c>
      <c r="AD141" s="87">
        <f t="shared" si="160"/>
        <v>39</v>
      </c>
      <c r="AE141" s="87">
        <f t="shared" si="155"/>
        <v>39</v>
      </c>
      <c r="AF141" s="87">
        <f t="shared" si="174"/>
        <v>39</v>
      </c>
      <c r="AG141" s="87">
        <f t="shared" si="172"/>
        <v>39</v>
      </c>
      <c r="AH141" s="87">
        <f t="shared" si="172"/>
        <v>39</v>
      </c>
      <c r="AI141" s="87">
        <f t="shared" si="166"/>
        <v>39</v>
      </c>
      <c r="AJ141" s="87">
        <f t="shared" si="166"/>
        <v>39</v>
      </c>
      <c r="AK141" s="87">
        <f t="shared" si="161"/>
        <v>39</v>
      </c>
      <c r="AL141" s="81">
        <v>1825</v>
      </c>
      <c r="AM141" s="4">
        <v>1</v>
      </c>
      <c r="AN141" s="81" t="s">
        <v>428</v>
      </c>
      <c r="AO141" s="81" t="s">
        <v>421</v>
      </c>
      <c r="AP141" s="81">
        <v>1962</v>
      </c>
      <c r="AQ141" s="81" t="s">
        <v>422</v>
      </c>
      <c r="AR141" s="81"/>
    </row>
    <row r="142" spans="1:44" x14ac:dyDescent="0.3">
      <c r="A142" s="67">
        <v>16</v>
      </c>
      <c r="B142" s="87">
        <v>0</v>
      </c>
      <c r="C142" s="87">
        <f>B142+11</f>
        <v>11</v>
      </c>
      <c r="D142" s="87">
        <f t="shared" si="164"/>
        <v>11</v>
      </c>
      <c r="E142" s="87">
        <f>D142+3</f>
        <v>14</v>
      </c>
      <c r="F142" s="87">
        <f t="shared" si="165"/>
        <v>14</v>
      </c>
      <c r="G142" s="87">
        <f>F142+1</f>
        <v>15</v>
      </c>
      <c r="H142" s="87">
        <f>G142+0</f>
        <v>15</v>
      </c>
      <c r="I142" s="87">
        <f>H142+1</f>
        <v>16</v>
      </c>
      <c r="J142" s="87">
        <f t="shared" si="140"/>
        <v>16</v>
      </c>
      <c r="K142" s="87">
        <f t="shared" si="175"/>
        <v>16</v>
      </c>
      <c r="L142" s="87">
        <f t="shared" si="162"/>
        <v>16</v>
      </c>
      <c r="M142" s="87">
        <f t="shared" si="128"/>
        <v>16</v>
      </c>
      <c r="N142" s="87">
        <f t="shared" si="173"/>
        <v>16</v>
      </c>
      <c r="O142" s="87">
        <f>N142+0</f>
        <v>16</v>
      </c>
      <c r="P142" s="87">
        <f t="shared" si="169"/>
        <v>16</v>
      </c>
      <c r="Q142" s="87">
        <f t="shared" si="167"/>
        <v>16</v>
      </c>
      <c r="R142" s="87">
        <f t="shared" si="151"/>
        <v>16</v>
      </c>
      <c r="S142" s="87">
        <f>R142+0</f>
        <v>16</v>
      </c>
      <c r="T142" s="87">
        <f t="shared" si="159"/>
        <v>16</v>
      </c>
      <c r="U142" s="87">
        <f t="shared" si="170"/>
        <v>16</v>
      </c>
      <c r="V142" s="87">
        <f>U142+0</f>
        <v>16</v>
      </c>
      <c r="W142" s="87">
        <f t="shared" si="154"/>
        <v>16</v>
      </c>
      <c r="X142" s="87">
        <f t="shared" si="171"/>
        <v>16</v>
      </c>
      <c r="Y142" s="87">
        <f t="shared" si="152"/>
        <v>16</v>
      </c>
      <c r="Z142" s="87">
        <f>Y142+0</f>
        <v>16</v>
      </c>
      <c r="AA142" s="87">
        <f t="shared" si="157"/>
        <v>16</v>
      </c>
      <c r="AB142" s="87">
        <f t="shared" si="168"/>
        <v>16</v>
      </c>
      <c r="AC142" s="87">
        <f t="shared" si="153"/>
        <v>16</v>
      </c>
      <c r="AD142" s="87">
        <f t="shared" si="160"/>
        <v>16</v>
      </c>
      <c r="AE142" s="87">
        <f t="shared" si="155"/>
        <v>16</v>
      </c>
      <c r="AF142" s="87">
        <f t="shared" si="174"/>
        <v>16</v>
      </c>
      <c r="AG142" s="87">
        <f t="shared" si="172"/>
        <v>16</v>
      </c>
      <c r="AH142" s="87">
        <f t="shared" si="172"/>
        <v>16</v>
      </c>
      <c r="AI142" s="87">
        <f t="shared" si="166"/>
        <v>16</v>
      </c>
      <c r="AJ142" s="87">
        <f t="shared" si="166"/>
        <v>16</v>
      </c>
      <c r="AK142" s="87">
        <f t="shared" si="161"/>
        <v>16</v>
      </c>
      <c r="AL142" s="81">
        <v>1825</v>
      </c>
      <c r="AM142" s="4">
        <v>1</v>
      </c>
      <c r="AN142" s="81" t="s">
        <v>425</v>
      </c>
      <c r="AO142" s="81" t="s">
        <v>421</v>
      </c>
      <c r="AP142" s="81">
        <v>1962</v>
      </c>
      <c r="AQ142" s="81" t="s">
        <v>422</v>
      </c>
      <c r="AR142" s="81"/>
    </row>
    <row r="143" spans="1:44" x14ac:dyDescent="0.3">
      <c r="A143" s="67">
        <v>10</v>
      </c>
      <c r="B143" s="87">
        <v>0</v>
      </c>
      <c r="C143" s="87">
        <f>B143+0</f>
        <v>0</v>
      </c>
      <c r="D143" s="87">
        <f t="shared" si="164"/>
        <v>0</v>
      </c>
      <c r="E143" s="87">
        <f>D143+0</f>
        <v>0</v>
      </c>
      <c r="F143" s="87">
        <f t="shared" si="165"/>
        <v>0</v>
      </c>
      <c r="G143" s="87">
        <f>F143+0</f>
        <v>0</v>
      </c>
      <c r="H143" s="87">
        <f>G143+1</f>
        <v>1</v>
      </c>
      <c r="I143" s="87">
        <f>H143+0</f>
        <v>1</v>
      </c>
      <c r="J143" s="87">
        <f t="shared" si="140"/>
        <v>1</v>
      </c>
      <c r="K143" s="87">
        <f t="shared" si="175"/>
        <v>1</v>
      </c>
      <c r="L143" s="87">
        <f t="shared" si="162"/>
        <v>1</v>
      </c>
      <c r="M143" s="87">
        <f t="shared" si="128"/>
        <v>1</v>
      </c>
      <c r="N143" s="87">
        <f t="shared" si="173"/>
        <v>1</v>
      </c>
      <c r="O143" s="87">
        <f>N143+3</f>
        <v>4</v>
      </c>
      <c r="P143" s="87">
        <f t="shared" si="169"/>
        <v>4</v>
      </c>
      <c r="Q143" s="87">
        <f t="shared" si="167"/>
        <v>4</v>
      </c>
      <c r="R143" s="87">
        <f t="shared" si="151"/>
        <v>4</v>
      </c>
      <c r="S143" s="87">
        <f>R143+1</f>
        <v>5</v>
      </c>
      <c r="T143" s="87">
        <f t="shared" si="159"/>
        <v>5</v>
      </c>
      <c r="U143" s="87">
        <f t="shared" si="170"/>
        <v>5</v>
      </c>
      <c r="V143" s="87">
        <f>U143+5</f>
        <v>10</v>
      </c>
      <c r="W143" s="87">
        <f t="shared" si="154"/>
        <v>10</v>
      </c>
      <c r="X143" s="87">
        <f t="shared" si="171"/>
        <v>10</v>
      </c>
      <c r="Y143" s="87">
        <f t="shared" si="152"/>
        <v>10</v>
      </c>
      <c r="Z143" s="87">
        <f>Y143+0</f>
        <v>10</v>
      </c>
      <c r="AA143" s="87">
        <f t="shared" si="157"/>
        <v>10</v>
      </c>
      <c r="AB143" s="87">
        <f t="shared" si="168"/>
        <v>10</v>
      </c>
      <c r="AC143" s="87">
        <f t="shared" si="153"/>
        <v>10</v>
      </c>
      <c r="AD143" s="87">
        <f t="shared" si="160"/>
        <v>10</v>
      </c>
      <c r="AE143" s="87">
        <f t="shared" si="155"/>
        <v>10</v>
      </c>
      <c r="AF143" s="87">
        <f t="shared" si="174"/>
        <v>10</v>
      </c>
      <c r="AG143" s="87">
        <f t="shared" si="172"/>
        <v>10</v>
      </c>
      <c r="AH143" s="87">
        <f t="shared" si="172"/>
        <v>10</v>
      </c>
      <c r="AI143" s="87">
        <f t="shared" si="166"/>
        <v>10</v>
      </c>
      <c r="AJ143" s="87">
        <f t="shared" si="166"/>
        <v>10</v>
      </c>
      <c r="AK143" s="87">
        <f t="shared" si="161"/>
        <v>10</v>
      </c>
      <c r="AL143" s="81">
        <v>1825</v>
      </c>
      <c r="AM143" s="4">
        <v>1</v>
      </c>
      <c r="AN143" s="81" t="s">
        <v>430</v>
      </c>
      <c r="AO143" s="81" t="s">
        <v>421</v>
      </c>
      <c r="AP143" s="81">
        <v>1962</v>
      </c>
      <c r="AQ143" s="81" t="s">
        <v>422</v>
      </c>
      <c r="AR143" s="81"/>
    </row>
    <row r="144" spans="1:44" x14ac:dyDescent="0.3">
      <c r="A144" s="67">
        <v>7</v>
      </c>
      <c r="B144" s="87">
        <v>0</v>
      </c>
      <c r="C144" s="87">
        <f>B144+0</f>
        <v>0</v>
      </c>
      <c r="D144" s="87">
        <f t="shared" si="164"/>
        <v>0</v>
      </c>
      <c r="E144" s="87">
        <f>D144+0</f>
        <v>0</v>
      </c>
      <c r="F144" s="87">
        <f t="shared" si="165"/>
        <v>0</v>
      </c>
      <c r="G144" s="87">
        <f>F144+0</f>
        <v>0</v>
      </c>
      <c r="H144" s="87">
        <f>G144+0</f>
        <v>0</v>
      </c>
      <c r="I144" s="87">
        <f>H144+0</f>
        <v>0</v>
      </c>
      <c r="J144" s="87">
        <f t="shared" si="140"/>
        <v>0</v>
      </c>
      <c r="K144" s="87">
        <f t="shared" si="175"/>
        <v>0</v>
      </c>
      <c r="L144" s="87">
        <f>K144+2</f>
        <v>2</v>
      </c>
      <c r="M144" s="87">
        <f t="shared" si="128"/>
        <v>2</v>
      </c>
      <c r="N144" s="87">
        <f t="shared" si="173"/>
        <v>2</v>
      </c>
      <c r="O144" s="87">
        <f>N144+1</f>
        <v>3</v>
      </c>
      <c r="P144" s="87">
        <f t="shared" si="169"/>
        <v>3</v>
      </c>
      <c r="Q144" s="87">
        <f t="shared" si="167"/>
        <v>3</v>
      </c>
      <c r="R144" s="87">
        <f t="shared" si="151"/>
        <v>3</v>
      </c>
      <c r="S144" s="87">
        <f>R144+2</f>
        <v>5</v>
      </c>
      <c r="T144" s="87">
        <f t="shared" si="159"/>
        <v>5</v>
      </c>
      <c r="U144" s="87">
        <f t="shared" si="170"/>
        <v>5</v>
      </c>
      <c r="V144" s="87">
        <f>U144+1</f>
        <v>6</v>
      </c>
      <c r="W144" s="87">
        <f t="shared" si="154"/>
        <v>6</v>
      </c>
      <c r="X144" s="87">
        <f t="shared" si="171"/>
        <v>6</v>
      </c>
      <c r="Y144" s="87">
        <f t="shared" si="152"/>
        <v>6</v>
      </c>
      <c r="Z144" s="87">
        <f>Y144+1</f>
        <v>7</v>
      </c>
      <c r="AA144" s="87">
        <f t="shared" si="157"/>
        <v>7</v>
      </c>
      <c r="AB144" s="87">
        <f t="shared" si="168"/>
        <v>7</v>
      </c>
      <c r="AC144" s="87">
        <f t="shared" si="153"/>
        <v>7</v>
      </c>
      <c r="AD144" s="87">
        <f t="shared" si="160"/>
        <v>7</v>
      </c>
      <c r="AE144" s="87">
        <f t="shared" si="155"/>
        <v>7</v>
      </c>
      <c r="AF144" s="87">
        <f t="shared" si="174"/>
        <v>7</v>
      </c>
      <c r="AG144" s="87">
        <f t="shared" si="172"/>
        <v>7</v>
      </c>
      <c r="AH144" s="87">
        <f t="shared" si="172"/>
        <v>7</v>
      </c>
      <c r="AI144" s="87">
        <f t="shared" si="166"/>
        <v>7</v>
      </c>
      <c r="AJ144" s="87">
        <f t="shared" si="166"/>
        <v>7</v>
      </c>
      <c r="AK144" s="87">
        <f t="shared" si="161"/>
        <v>7</v>
      </c>
      <c r="AL144" s="81">
        <v>1825</v>
      </c>
      <c r="AM144" s="4">
        <v>1</v>
      </c>
      <c r="AN144" s="81" t="s">
        <v>431</v>
      </c>
      <c r="AO144" s="81" t="s">
        <v>421</v>
      </c>
      <c r="AP144" s="81">
        <v>1962</v>
      </c>
      <c r="AQ144" s="81" t="s">
        <v>422</v>
      </c>
      <c r="AR144" s="81"/>
    </row>
    <row r="145" spans="1:44" x14ac:dyDescent="0.3">
      <c r="A145" s="67">
        <v>24</v>
      </c>
      <c r="B145" s="87">
        <v>0</v>
      </c>
      <c r="C145" s="87">
        <f>B145+13</f>
        <v>13</v>
      </c>
      <c r="D145" s="87">
        <f t="shared" si="164"/>
        <v>13</v>
      </c>
      <c r="E145" s="87">
        <f>D145+6</f>
        <v>19</v>
      </c>
      <c r="F145" s="87">
        <f t="shared" si="165"/>
        <v>19</v>
      </c>
      <c r="G145" s="87">
        <f>F145+4</f>
        <v>23</v>
      </c>
      <c r="H145" s="87">
        <f>G145+0</f>
        <v>23</v>
      </c>
      <c r="I145" s="87">
        <f>H145+1</f>
        <v>24</v>
      </c>
      <c r="J145" s="87">
        <f t="shared" si="140"/>
        <v>24</v>
      </c>
      <c r="K145" s="87">
        <f t="shared" si="175"/>
        <v>24</v>
      </c>
      <c r="L145" s="87">
        <f>K145+0</f>
        <v>24</v>
      </c>
      <c r="M145" s="87">
        <f t="shared" si="128"/>
        <v>24</v>
      </c>
      <c r="N145" s="87">
        <f t="shared" si="173"/>
        <v>24</v>
      </c>
      <c r="O145" s="87">
        <f t="shared" ref="O145:O190" si="176">N145+0</f>
        <v>24</v>
      </c>
      <c r="P145" s="87">
        <f t="shared" si="169"/>
        <v>24</v>
      </c>
      <c r="Q145" s="87">
        <f t="shared" si="167"/>
        <v>24</v>
      </c>
      <c r="R145" s="87">
        <f t="shared" si="151"/>
        <v>24</v>
      </c>
      <c r="S145" s="87">
        <f>R145+0</f>
        <v>24</v>
      </c>
      <c r="T145" s="87">
        <f t="shared" si="159"/>
        <v>24</v>
      </c>
      <c r="U145" s="87">
        <f t="shared" si="170"/>
        <v>24</v>
      </c>
      <c r="V145" s="87">
        <f>U145+0</f>
        <v>24</v>
      </c>
      <c r="W145" s="87">
        <f t="shared" si="154"/>
        <v>24</v>
      </c>
      <c r="X145" s="87">
        <f t="shared" si="171"/>
        <v>24</v>
      </c>
      <c r="Y145" s="87">
        <f t="shared" si="152"/>
        <v>24</v>
      </c>
      <c r="Z145" s="87">
        <f>Y145+0</f>
        <v>24</v>
      </c>
      <c r="AA145" s="87">
        <f t="shared" si="157"/>
        <v>24</v>
      </c>
      <c r="AB145" s="87">
        <f t="shared" si="168"/>
        <v>24</v>
      </c>
      <c r="AC145" s="87">
        <f t="shared" si="153"/>
        <v>24</v>
      </c>
      <c r="AD145" s="87">
        <f t="shared" si="160"/>
        <v>24</v>
      </c>
      <c r="AE145" s="87">
        <f t="shared" si="155"/>
        <v>24</v>
      </c>
      <c r="AF145" s="87">
        <f t="shared" si="174"/>
        <v>24</v>
      </c>
      <c r="AG145" s="87">
        <f t="shared" si="172"/>
        <v>24</v>
      </c>
      <c r="AH145" s="87">
        <f t="shared" si="172"/>
        <v>24</v>
      </c>
      <c r="AI145" s="87">
        <f t="shared" si="166"/>
        <v>24</v>
      </c>
      <c r="AJ145" s="87">
        <f t="shared" si="166"/>
        <v>24</v>
      </c>
      <c r="AK145" s="87">
        <f t="shared" si="161"/>
        <v>24</v>
      </c>
      <c r="AL145" s="81">
        <v>1825</v>
      </c>
      <c r="AM145" s="4">
        <v>1</v>
      </c>
      <c r="AN145" s="81" t="s">
        <v>424</v>
      </c>
      <c r="AO145" s="81" t="s">
        <v>421</v>
      </c>
      <c r="AP145" s="81">
        <v>1962</v>
      </c>
      <c r="AQ145" s="81" t="s">
        <v>422</v>
      </c>
      <c r="AR145" s="81"/>
    </row>
    <row r="146" spans="1:44" x14ac:dyDescent="0.3">
      <c r="A146" s="67">
        <v>17</v>
      </c>
      <c r="B146" s="87">
        <v>0</v>
      </c>
      <c r="C146" s="87">
        <f>B146+0</f>
        <v>0</v>
      </c>
      <c r="D146" s="87">
        <f t="shared" si="164"/>
        <v>0</v>
      </c>
      <c r="E146" s="87">
        <f>D146+0</f>
        <v>0</v>
      </c>
      <c r="F146" s="87">
        <f t="shared" si="165"/>
        <v>0</v>
      </c>
      <c r="G146" s="87">
        <f>F146+0</f>
        <v>0</v>
      </c>
      <c r="H146" s="87">
        <f>G146+1</f>
        <v>1</v>
      </c>
      <c r="I146" s="87">
        <f t="shared" ref="I146:I152" si="177">H146+0</f>
        <v>1</v>
      </c>
      <c r="J146" s="87">
        <f t="shared" si="140"/>
        <v>1</v>
      </c>
      <c r="K146" s="87">
        <f t="shared" si="175"/>
        <v>1</v>
      </c>
      <c r="L146" s="87">
        <f>K146+3</f>
        <v>4</v>
      </c>
      <c r="M146" s="87">
        <f t="shared" si="128"/>
        <v>4</v>
      </c>
      <c r="N146" s="87">
        <f t="shared" si="173"/>
        <v>4</v>
      </c>
      <c r="O146" s="87">
        <f t="shared" si="176"/>
        <v>4</v>
      </c>
      <c r="P146" s="87">
        <f t="shared" si="169"/>
        <v>4</v>
      </c>
      <c r="Q146" s="87">
        <f t="shared" si="167"/>
        <v>4</v>
      </c>
      <c r="R146" s="87">
        <f t="shared" si="151"/>
        <v>4</v>
      </c>
      <c r="S146" s="87">
        <f>R146+3</f>
        <v>7</v>
      </c>
      <c r="T146" s="87">
        <f t="shared" si="159"/>
        <v>7</v>
      </c>
      <c r="U146" s="87">
        <f t="shared" si="170"/>
        <v>7</v>
      </c>
      <c r="V146" s="87">
        <f>U146+5</f>
        <v>12</v>
      </c>
      <c r="W146" s="87">
        <f t="shared" si="154"/>
        <v>12</v>
      </c>
      <c r="X146" s="87">
        <f t="shared" si="171"/>
        <v>12</v>
      </c>
      <c r="Y146" s="87">
        <f t="shared" si="152"/>
        <v>12</v>
      </c>
      <c r="Z146" s="87">
        <f>Y146+5</f>
        <v>17</v>
      </c>
      <c r="AA146" s="87">
        <f t="shared" si="157"/>
        <v>17</v>
      </c>
      <c r="AB146" s="87">
        <f t="shared" si="168"/>
        <v>17</v>
      </c>
      <c r="AC146" s="87">
        <f t="shared" si="153"/>
        <v>17</v>
      </c>
      <c r="AD146" s="87">
        <f t="shared" si="160"/>
        <v>17</v>
      </c>
      <c r="AE146" s="87">
        <f t="shared" si="155"/>
        <v>17</v>
      </c>
      <c r="AF146" s="87">
        <f t="shared" si="174"/>
        <v>17</v>
      </c>
      <c r="AG146" s="87">
        <f t="shared" si="172"/>
        <v>17</v>
      </c>
      <c r="AH146" s="87">
        <f t="shared" si="172"/>
        <v>17</v>
      </c>
      <c r="AI146" s="87">
        <f t="shared" si="166"/>
        <v>17</v>
      </c>
      <c r="AJ146" s="87">
        <f t="shared" si="166"/>
        <v>17</v>
      </c>
      <c r="AK146" s="87">
        <f t="shared" si="161"/>
        <v>17</v>
      </c>
      <c r="AL146" s="81">
        <v>1825</v>
      </c>
      <c r="AM146" s="4">
        <v>1</v>
      </c>
      <c r="AN146" s="81" t="s">
        <v>429</v>
      </c>
      <c r="AO146" s="81" t="s">
        <v>421</v>
      </c>
      <c r="AP146" s="81">
        <v>1962</v>
      </c>
      <c r="AQ146" s="81" t="s">
        <v>422</v>
      </c>
      <c r="AR146" s="81"/>
    </row>
    <row r="147" spans="1:44" x14ac:dyDescent="0.3">
      <c r="A147" s="67">
        <v>37</v>
      </c>
      <c r="B147" s="87">
        <v>0</v>
      </c>
      <c r="C147" s="87">
        <f>B147+0</f>
        <v>0</v>
      </c>
      <c r="D147" s="87">
        <f>C147+4</f>
        <v>4</v>
      </c>
      <c r="E147" s="87">
        <f>D147+0</f>
        <v>4</v>
      </c>
      <c r="F147" s="87">
        <f t="shared" si="165"/>
        <v>4</v>
      </c>
      <c r="G147" s="87">
        <f>F147+19</f>
        <v>23</v>
      </c>
      <c r="H147" s="87">
        <f>G147+0</f>
        <v>23</v>
      </c>
      <c r="I147" s="87">
        <f t="shared" si="177"/>
        <v>23</v>
      </c>
      <c r="J147" s="87">
        <f>I147+5</f>
        <v>28</v>
      </c>
      <c r="K147" s="87">
        <f t="shared" si="175"/>
        <v>28</v>
      </c>
      <c r="L147" s="87">
        <f t="shared" ref="L147:L190" si="178">K147+0</f>
        <v>28</v>
      </c>
      <c r="M147" s="87">
        <f t="shared" si="128"/>
        <v>28</v>
      </c>
      <c r="N147" s="87">
        <f t="shared" si="173"/>
        <v>28</v>
      </c>
      <c r="O147" s="87">
        <f t="shared" si="176"/>
        <v>28</v>
      </c>
      <c r="P147" s="87">
        <f t="shared" si="169"/>
        <v>28</v>
      </c>
      <c r="Q147" s="87">
        <f>P147+3</f>
        <v>31</v>
      </c>
      <c r="R147" s="87">
        <f t="shared" si="151"/>
        <v>31</v>
      </c>
      <c r="S147" s="87">
        <f t="shared" ref="S147:S175" si="179">R147+0</f>
        <v>31</v>
      </c>
      <c r="T147" s="87">
        <f t="shared" si="159"/>
        <v>31</v>
      </c>
      <c r="U147" s="87">
        <f t="shared" si="170"/>
        <v>31</v>
      </c>
      <c r="V147" s="87">
        <f t="shared" ref="V147:V190" si="180">U147+0</f>
        <v>31</v>
      </c>
      <c r="W147" s="87">
        <f t="shared" si="154"/>
        <v>31</v>
      </c>
      <c r="X147" s="87">
        <f t="shared" si="171"/>
        <v>31</v>
      </c>
      <c r="Y147" s="87">
        <f t="shared" si="152"/>
        <v>31</v>
      </c>
      <c r="Z147" s="87">
        <f>Y147+6</f>
        <v>37</v>
      </c>
      <c r="AA147" s="87">
        <f t="shared" si="157"/>
        <v>37</v>
      </c>
      <c r="AB147" s="87">
        <f t="shared" si="168"/>
        <v>37</v>
      </c>
      <c r="AC147" s="87">
        <f t="shared" si="153"/>
        <v>37</v>
      </c>
      <c r="AD147" s="87">
        <f t="shared" si="160"/>
        <v>37</v>
      </c>
      <c r="AE147" s="87">
        <f t="shared" si="155"/>
        <v>37</v>
      </c>
      <c r="AF147" s="87">
        <f t="shared" si="174"/>
        <v>37</v>
      </c>
      <c r="AG147" s="87">
        <f t="shared" si="172"/>
        <v>37</v>
      </c>
      <c r="AH147" s="87">
        <f t="shared" si="172"/>
        <v>37</v>
      </c>
      <c r="AI147" s="87">
        <f t="shared" si="166"/>
        <v>37</v>
      </c>
      <c r="AJ147" s="87">
        <f t="shared" si="166"/>
        <v>37</v>
      </c>
      <c r="AK147" s="87">
        <f t="shared" si="161"/>
        <v>37</v>
      </c>
      <c r="AL147" s="68">
        <v>720</v>
      </c>
      <c r="AM147" s="4">
        <v>1</v>
      </c>
      <c r="AN147" s="81" t="s">
        <v>73</v>
      </c>
      <c r="AO147" s="81" t="s">
        <v>164</v>
      </c>
      <c r="AP147" s="15">
        <v>1991</v>
      </c>
      <c r="AQ147" s="81" t="s">
        <v>72</v>
      </c>
    </row>
    <row r="148" spans="1:44" x14ac:dyDescent="0.3">
      <c r="A148" s="1">
        <v>22</v>
      </c>
      <c r="B148" s="87">
        <v>0</v>
      </c>
      <c r="C148" s="87">
        <f>B148+0</f>
        <v>0</v>
      </c>
      <c r="D148" s="87">
        <f>C148+0</f>
        <v>0</v>
      </c>
      <c r="E148" s="87">
        <f>D148+6</f>
        <v>6</v>
      </c>
      <c r="F148" s="87">
        <f t="shared" si="165"/>
        <v>6</v>
      </c>
      <c r="G148" s="87">
        <f>F148+0</f>
        <v>6</v>
      </c>
      <c r="H148" s="87">
        <f>G148+0</f>
        <v>6</v>
      </c>
      <c r="I148" s="87">
        <f t="shared" si="177"/>
        <v>6</v>
      </c>
      <c r="J148" s="87">
        <f>I148+14</f>
        <v>20</v>
      </c>
      <c r="K148" s="87">
        <f t="shared" si="175"/>
        <v>20</v>
      </c>
      <c r="L148" s="87">
        <f t="shared" si="178"/>
        <v>20</v>
      </c>
      <c r="M148" s="87">
        <f t="shared" si="128"/>
        <v>20</v>
      </c>
      <c r="N148" s="87">
        <f t="shared" si="173"/>
        <v>20</v>
      </c>
      <c r="O148" s="87">
        <f t="shared" si="176"/>
        <v>20</v>
      </c>
      <c r="P148" s="87">
        <f t="shared" si="169"/>
        <v>20</v>
      </c>
      <c r="Q148" s="87">
        <f>P148+0</f>
        <v>20</v>
      </c>
      <c r="R148" s="87">
        <f t="shared" si="151"/>
        <v>20</v>
      </c>
      <c r="S148" s="87">
        <f t="shared" si="179"/>
        <v>20</v>
      </c>
      <c r="T148" s="87">
        <f t="shared" si="159"/>
        <v>20</v>
      </c>
      <c r="U148" s="87">
        <f t="shared" si="170"/>
        <v>20</v>
      </c>
      <c r="V148" s="87">
        <f t="shared" si="180"/>
        <v>20</v>
      </c>
      <c r="W148" s="87">
        <f t="shared" si="154"/>
        <v>20</v>
      </c>
      <c r="X148" s="87">
        <f t="shared" si="171"/>
        <v>20</v>
      </c>
      <c r="Y148" s="87">
        <f t="shared" si="152"/>
        <v>20</v>
      </c>
      <c r="Z148" s="87">
        <f>Y148+2</f>
        <v>22</v>
      </c>
      <c r="AA148" s="87">
        <f t="shared" si="157"/>
        <v>22</v>
      </c>
      <c r="AB148" s="87">
        <f t="shared" si="168"/>
        <v>22</v>
      </c>
      <c r="AC148" s="87">
        <f t="shared" si="153"/>
        <v>22</v>
      </c>
      <c r="AD148" s="87">
        <f t="shared" si="160"/>
        <v>22</v>
      </c>
      <c r="AE148" s="87">
        <f t="shared" si="155"/>
        <v>22</v>
      </c>
      <c r="AF148" s="87">
        <f t="shared" si="174"/>
        <v>22</v>
      </c>
      <c r="AG148" s="87">
        <f t="shared" si="172"/>
        <v>22</v>
      </c>
      <c r="AH148" s="87">
        <f t="shared" si="172"/>
        <v>22</v>
      </c>
      <c r="AI148" s="87">
        <f t="shared" si="166"/>
        <v>22</v>
      </c>
      <c r="AJ148" s="87">
        <f t="shared" si="166"/>
        <v>22</v>
      </c>
      <c r="AK148" s="87">
        <f t="shared" si="161"/>
        <v>22</v>
      </c>
      <c r="AL148" s="68">
        <v>720</v>
      </c>
      <c r="AM148" s="4">
        <v>1</v>
      </c>
      <c r="AN148" s="81" t="s">
        <v>74</v>
      </c>
      <c r="AO148" s="81" t="s">
        <v>164</v>
      </c>
      <c r="AP148" s="81">
        <v>1991</v>
      </c>
      <c r="AQ148" s="81" t="s">
        <v>72</v>
      </c>
    </row>
    <row r="149" spans="1:44" x14ac:dyDescent="0.3">
      <c r="A149" s="1">
        <v>14</v>
      </c>
      <c r="B149" s="87">
        <v>0</v>
      </c>
      <c r="C149" s="87">
        <f>B149+6</f>
        <v>6</v>
      </c>
      <c r="D149" s="87">
        <f>C149+0</f>
        <v>6</v>
      </c>
      <c r="E149" s="87">
        <f t="shared" ref="E149:E190" si="181">D149+0</f>
        <v>6</v>
      </c>
      <c r="F149" s="87">
        <f t="shared" si="165"/>
        <v>6</v>
      </c>
      <c r="G149" s="87">
        <f>F149+6</f>
        <v>12</v>
      </c>
      <c r="H149" s="87">
        <f>G149+0</f>
        <v>12</v>
      </c>
      <c r="I149" s="87">
        <f t="shared" si="177"/>
        <v>12</v>
      </c>
      <c r="J149" s="87">
        <f>I149+1</f>
        <v>13</v>
      </c>
      <c r="K149" s="87">
        <f t="shared" si="175"/>
        <v>13</v>
      </c>
      <c r="L149" s="87">
        <f t="shared" si="178"/>
        <v>13</v>
      </c>
      <c r="M149" s="87">
        <f t="shared" si="128"/>
        <v>13</v>
      </c>
      <c r="N149" s="87">
        <f t="shared" si="173"/>
        <v>13</v>
      </c>
      <c r="O149" s="87">
        <f t="shared" si="176"/>
        <v>13</v>
      </c>
      <c r="P149" s="87">
        <f>O149+1</f>
        <v>14</v>
      </c>
      <c r="Q149" s="87">
        <f>P149+0</f>
        <v>14</v>
      </c>
      <c r="R149" s="87">
        <f t="shared" si="151"/>
        <v>14</v>
      </c>
      <c r="S149" s="87">
        <f t="shared" si="179"/>
        <v>14</v>
      </c>
      <c r="T149" s="87">
        <f t="shared" si="159"/>
        <v>14</v>
      </c>
      <c r="U149" s="87">
        <f t="shared" si="170"/>
        <v>14</v>
      </c>
      <c r="V149" s="87">
        <f t="shared" si="180"/>
        <v>14</v>
      </c>
      <c r="W149" s="87">
        <f t="shared" si="154"/>
        <v>14</v>
      </c>
      <c r="X149" s="87">
        <f t="shared" si="171"/>
        <v>14</v>
      </c>
      <c r="Y149" s="87">
        <f t="shared" si="152"/>
        <v>14</v>
      </c>
      <c r="Z149" s="87">
        <f>Y149+0</f>
        <v>14</v>
      </c>
      <c r="AA149" s="87">
        <f t="shared" si="157"/>
        <v>14</v>
      </c>
      <c r="AB149" s="87">
        <f t="shared" si="168"/>
        <v>14</v>
      </c>
      <c r="AC149" s="87">
        <f t="shared" si="153"/>
        <v>14</v>
      </c>
      <c r="AD149" s="87">
        <f t="shared" si="160"/>
        <v>14</v>
      </c>
      <c r="AE149" s="87">
        <f t="shared" si="155"/>
        <v>14</v>
      </c>
      <c r="AF149" s="87">
        <f t="shared" si="174"/>
        <v>14</v>
      </c>
      <c r="AG149" s="87">
        <f t="shared" si="172"/>
        <v>14</v>
      </c>
      <c r="AH149" s="87">
        <f t="shared" si="172"/>
        <v>14</v>
      </c>
      <c r="AI149" s="87">
        <f t="shared" si="166"/>
        <v>14</v>
      </c>
      <c r="AJ149" s="87">
        <f t="shared" si="166"/>
        <v>14</v>
      </c>
      <c r="AK149" s="87">
        <f t="shared" si="161"/>
        <v>14</v>
      </c>
      <c r="AL149" s="15">
        <v>708</v>
      </c>
      <c r="AM149" s="4">
        <v>1</v>
      </c>
      <c r="AN149" s="81" t="s">
        <v>210</v>
      </c>
      <c r="AO149" s="81" t="s">
        <v>164</v>
      </c>
      <c r="AP149" s="81">
        <v>1991</v>
      </c>
      <c r="AQ149" s="81" t="s">
        <v>72</v>
      </c>
    </row>
    <row r="150" spans="1:44" x14ac:dyDescent="0.3">
      <c r="A150" s="1">
        <v>6</v>
      </c>
      <c r="B150" s="87">
        <v>2</v>
      </c>
      <c r="C150" s="87">
        <f t="shared" ref="C150:C190" si="182">B150+0</f>
        <v>2</v>
      </c>
      <c r="D150" s="87">
        <f>C150+3</f>
        <v>5</v>
      </c>
      <c r="E150" s="87">
        <f t="shared" si="181"/>
        <v>5</v>
      </c>
      <c r="F150" s="87">
        <f t="shared" si="165"/>
        <v>5</v>
      </c>
      <c r="G150" s="87">
        <f>F150+1</f>
        <v>6</v>
      </c>
      <c r="H150" s="87">
        <f>G150+0</f>
        <v>6</v>
      </c>
      <c r="I150" s="87">
        <f t="shared" si="177"/>
        <v>6</v>
      </c>
      <c r="J150" s="87">
        <f>I150+0</f>
        <v>6</v>
      </c>
      <c r="K150" s="87">
        <f t="shared" si="175"/>
        <v>6</v>
      </c>
      <c r="L150" s="87">
        <f t="shared" si="178"/>
        <v>6</v>
      </c>
      <c r="M150" s="87">
        <f t="shared" si="128"/>
        <v>6</v>
      </c>
      <c r="N150" s="87">
        <f t="shared" si="173"/>
        <v>6</v>
      </c>
      <c r="O150" s="87">
        <f t="shared" si="176"/>
        <v>6</v>
      </c>
      <c r="P150" s="87">
        <f t="shared" ref="P150:P190" si="183">O150+0</f>
        <v>6</v>
      </c>
      <c r="Q150" s="87">
        <f>P150+0</f>
        <v>6</v>
      </c>
      <c r="R150" s="87">
        <f t="shared" si="151"/>
        <v>6</v>
      </c>
      <c r="S150" s="87">
        <f t="shared" si="179"/>
        <v>6</v>
      </c>
      <c r="T150" s="87">
        <f t="shared" si="159"/>
        <v>6</v>
      </c>
      <c r="U150" s="87">
        <f t="shared" si="170"/>
        <v>6</v>
      </c>
      <c r="V150" s="87">
        <f t="shared" si="180"/>
        <v>6</v>
      </c>
      <c r="W150" s="87">
        <f t="shared" si="154"/>
        <v>6</v>
      </c>
      <c r="X150" s="87">
        <f t="shared" si="171"/>
        <v>6</v>
      </c>
      <c r="Y150" s="87">
        <f t="shared" si="152"/>
        <v>6</v>
      </c>
      <c r="Z150" s="87">
        <f>Y150+0</f>
        <v>6</v>
      </c>
      <c r="AA150" s="87">
        <f t="shared" si="157"/>
        <v>6</v>
      </c>
      <c r="AB150" s="87">
        <f t="shared" si="168"/>
        <v>6</v>
      </c>
      <c r="AC150" s="87">
        <f t="shared" si="153"/>
        <v>6</v>
      </c>
      <c r="AD150" s="87">
        <f t="shared" si="160"/>
        <v>6</v>
      </c>
      <c r="AE150" s="87">
        <f t="shared" si="155"/>
        <v>6</v>
      </c>
      <c r="AF150" s="87">
        <f t="shared" si="174"/>
        <v>6</v>
      </c>
      <c r="AG150" s="87">
        <f t="shared" si="172"/>
        <v>6</v>
      </c>
      <c r="AH150" s="87">
        <f t="shared" si="172"/>
        <v>6</v>
      </c>
      <c r="AI150" s="87">
        <f t="shared" si="166"/>
        <v>6</v>
      </c>
      <c r="AJ150" s="87">
        <f t="shared" si="166"/>
        <v>6</v>
      </c>
      <c r="AK150" s="87">
        <f t="shared" si="161"/>
        <v>6</v>
      </c>
      <c r="AL150" s="15">
        <v>708</v>
      </c>
      <c r="AM150" s="4">
        <v>1</v>
      </c>
      <c r="AN150" s="15" t="s">
        <v>209</v>
      </c>
      <c r="AO150" s="15" t="s">
        <v>164</v>
      </c>
      <c r="AP150" s="15">
        <v>1991</v>
      </c>
      <c r="AQ150" s="15" t="s">
        <v>72</v>
      </c>
    </row>
    <row r="151" spans="1:44" x14ac:dyDescent="0.3">
      <c r="A151" s="1">
        <v>42</v>
      </c>
      <c r="B151" s="87">
        <v>0</v>
      </c>
      <c r="C151" s="87">
        <f t="shared" si="182"/>
        <v>0</v>
      </c>
      <c r="D151" s="87">
        <f t="shared" ref="D151:D190" si="184">C151+0</f>
        <v>0</v>
      </c>
      <c r="E151" s="87">
        <f t="shared" si="181"/>
        <v>0</v>
      </c>
      <c r="F151" s="87">
        <f>E151+1</f>
        <v>1</v>
      </c>
      <c r="G151" s="87">
        <f t="shared" ref="G151:G166" si="185">F151+0</f>
        <v>1</v>
      </c>
      <c r="H151" s="87">
        <f>G151+4</f>
        <v>5</v>
      </c>
      <c r="I151" s="87">
        <f t="shared" si="177"/>
        <v>5</v>
      </c>
      <c r="J151" s="87">
        <f>I151+4</f>
        <v>9</v>
      </c>
      <c r="K151" s="87">
        <f t="shared" si="175"/>
        <v>9</v>
      </c>
      <c r="L151" s="87">
        <f t="shared" si="178"/>
        <v>9</v>
      </c>
      <c r="M151" s="87">
        <f>L151+8</f>
        <v>17</v>
      </c>
      <c r="N151" s="87">
        <f t="shared" si="173"/>
        <v>17</v>
      </c>
      <c r="O151" s="87">
        <f t="shared" si="176"/>
        <v>17</v>
      </c>
      <c r="P151" s="87">
        <f t="shared" si="183"/>
        <v>17</v>
      </c>
      <c r="Q151" s="87">
        <f>P151+2</f>
        <v>19</v>
      </c>
      <c r="R151" s="87">
        <f t="shared" si="151"/>
        <v>19</v>
      </c>
      <c r="S151" s="87">
        <f t="shared" si="179"/>
        <v>19</v>
      </c>
      <c r="T151" s="87">
        <f>S151+8</f>
        <v>27</v>
      </c>
      <c r="U151" s="87">
        <f t="shared" si="170"/>
        <v>27</v>
      </c>
      <c r="V151" s="87">
        <f t="shared" si="180"/>
        <v>27</v>
      </c>
      <c r="W151" s="87">
        <f t="shared" si="154"/>
        <v>27</v>
      </c>
      <c r="X151" s="87">
        <f t="shared" si="171"/>
        <v>27</v>
      </c>
      <c r="Y151" s="87">
        <f t="shared" si="152"/>
        <v>27</v>
      </c>
      <c r="Z151" s="87">
        <f>Y151+14</f>
        <v>41</v>
      </c>
      <c r="AA151" s="87">
        <f t="shared" si="157"/>
        <v>41</v>
      </c>
      <c r="AB151" s="87">
        <f t="shared" si="168"/>
        <v>41</v>
      </c>
      <c r="AC151" s="87">
        <f t="shared" si="153"/>
        <v>41</v>
      </c>
      <c r="AD151" s="87">
        <f t="shared" si="160"/>
        <v>41</v>
      </c>
      <c r="AE151" s="87">
        <f t="shared" si="155"/>
        <v>41</v>
      </c>
      <c r="AF151" s="87">
        <f t="shared" si="174"/>
        <v>41</v>
      </c>
      <c r="AG151" s="87">
        <f t="shared" si="172"/>
        <v>41</v>
      </c>
      <c r="AH151" s="87">
        <f t="shared" si="172"/>
        <v>41</v>
      </c>
      <c r="AI151" s="87">
        <f t="shared" si="166"/>
        <v>41</v>
      </c>
      <c r="AJ151" s="87">
        <f t="shared" si="166"/>
        <v>41</v>
      </c>
      <c r="AK151" s="87">
        <f t="shared" si="161"/>
        <v>41</v>
      </c>
      <c r="AL151" s="81">
        <v>540</v>
      </c>
      <c r="AM151" s="4">
        <v>3</v>
      </c>
      <c r="AN151" s="15" t="s">
        <v>79</v>
      </c>
      <c r="AO151" s="15" t="s">
        <v>80</v>
      </c>
      <c r="AP151" s="15">
        <v>1999</v>
      </c>
      <c r="AQ151" s="15" t="s">
        <v>81</v>
      </c>
    </row>
    <row r="152" spans="1:44" x14ac:dyDescent="0.3">
      <c r="A152" s="1">
        <v>9</v>
      </c>
      <c r="B152" s="87">
        <v>0</v>
      </c>
      <c r="C152" s="87">
        <f t="shared" si="182"/>
        <v>0</v>
      </c>
      <c r="D152" s="87">
        <f t="shared" si="184"/>
        <v>0</v>
      </c>
      <c r="E152" s="87">
        <f t="shared" si="181"/>
        <v>0</v>
      </c>
      <c r="F152" s="87">
        <f t="shared" ref="F152:F175" si="186">E152+0</f>
        <v>0</v>
      </c>
      <c r="G152" s="87">
        <f t="shared" si="185"/>
        <v>0</v>
      </c>
      <c r="H152" s="87">
        <f t="shared" ref="H152:H190" si="187">G152+0</f>
        <v>0</v>
      </c>
      <c r="I152" s="87">
        <f t="shared" si="177"/>
        <v>0</v>
      </c>
      <c r="J152" s="87">
        <f t="shared" ref="J152:J166" si="188">I152+0</f>
        <v>0</v>
      </c>
      <c r="K152" s="87">
        <f t="shared" si="175"/>
        <v>0</v>
      </c>
      <c r="L152" s="87">
        <f t="shared" si="178"/>
        <v>0</v>
      </c>
      <c r="M152" s="87">
        <f t="shared" ref="M152:M175" si="189">L152+0</f>
        <v>0</v>
      </c>
      <c r="N152" s="87">
        <f t="shared" si="173"/>
        <v>0</v>
      </c>
      <c r="O152" s="87">
        <f t="shared" si="176"/>
        <v>0</v>
      </c>
      <c r="P152" s="87">
        <f t="shared" si="183"/>
        <v>0</v>
      </c>
      <c r="Q152" s="87">
        <f t="shared" ref="Q152:Q190" si="190">P152+0</f>
        <v>0</v>
      </c>
      <c r="R152" s="87">
        <f t="shared" si="151"/>
        <v>0</v>
      </c>
      <c r="S152" s="87">
        <f t="shared" si="179"/>
        <v>0</v>
      </c>
      <c r="T152" s="87">
        <f t="shared" ref="T152:T184" si="191">S152+0</f>
        <v>0</v>
      </c>
      <c r="U152" s="87">
        <f t="shared" si="170"/>
        <v>0</v>
      </c>
      <c r="V152" s="87">
        <f t="shared" si="180"/>
        <v>0</v>
      </c>
      <c r="W152" s="87">
        <f t="shared" si="154"/>
        <v>0</v>
      </c>
      <c r="X152" s="87">
        <f>W152+9</f>
        <v>9</v>
      </c>
      <c r="Y152" s="87">
        <f t="shared" si="152"/>
        <v>9</v>
      </c>
      <c r="Z152" s="87">
        <f t="shared" ref="Z152:Z190" si="192">Y152+0</f>
        <v>9</v>
      </c>
      <c r="AA152" s="87">
        <f t="shared" si="157"/>
        <v>9</v>
      </c>
      <c r="AB152" s="87">
        <f t="shared" si="168"/>
        <v>9</v>
      </c>
      <c r="AC152" s="87">
        <f t="shared" si="153"/>
        <v>9</v>
      </c>
      <c r="AD152" s="87">
        <f t="shared" si="160"/>
        <v>9</v>
      </c>
      <c r="AE152" s="87">
        <f t="shared" si="155"/>
        <v>9</v>
      </c>
      <c r="AF152" s="87">
        <f t="shared" si="174"/>
        <v>9</v>
      </c>
      <c r="AG152" s="87">
        <f t="shared" si="172"/>
        <v>9</v>
      </c>
      <c r="AH152" s="87">
        <f t="shared" si="172"/>
        <v>9</v>
      </c>
      <c r="AI152" s="87">
        <f t="shared" si="166"/>
        <v>9</v>
      </c>
      <c r="AJ152" s="87">
        <f t="shared" si="166"/>
        <v>9</v>
      </c>
      <c r="AK152" s="87">
        <f t="shared" si="161"/>
        <v>9</v>
      </c>
      <c r="AL152" s="68">
        <v>360</v>
      </c>
      <c r="AM152" s="4">
        <v>1</v>
      </c>
      <c r="AN152" s="15" t="s">
        <v>251</v>
      </c>
      <c r="AO152" s="15" t="s">
        <v>250</v>
      </c>
      <c r="AP152" s="15">
        <v>1960</v>
      </c>
      <c r="AQ152" s="15" t="s">
        <v>255</v>
      </c>
    </row>
    <row r="153" spans="1:44" x14ac:dyDescent="0.3">
      <c r="A153" s="1">
        <v>7</v>
      </c>
      <c r="B153" s="87">
        <v>0</v>
      </c>
      <c r="C153" s="87">
        <f t="shared" si="182"/>
        <v>0</v>
      </c>
      <c r="D153" s="87">
        <f t="shared" si="184"/>
        <v>0</v>
      </c>
      <c r="E153" s="87">
        <f t="shared" si="181"/>
        <v>0</v>
      </c>
      <c r="F153" s="87">
        <f t="shared" si="186"/>
        <v>0</v>
      </c>
      <c r="G153" s="87">
        <f t="shared" si="185"/>
        <v>0</v>
      </c>
      <c r="H153" s="87">
        <f t="shared" si="187"/>
        <v>0</v>
      </c>
      <c r="I153" s="87">
        <f>H153+6</f>
        <v>6</v>
      </c>
      <c r="J153" s="87">
        <f t="shared" si="188"/>
        <v>6</v>
      </c>
      <c r="K153" s="87">
        <f t="shared" si="175"/>
        <v>6</v>
      </c>
      <c r="L153" s="87">
        <f t="shared" si="178"/>
        <v>6</v>
      </c>
      <c r="M153" s="87">
        <f t="shared" si="189"/>
        <v>6</v>
      </c>
      <c r="N153" s="87">
        <f t="shared" si="173"/>
        <v>6</v>
      </c>
      <c r="O153" s="87">
        <f t="shared" si="176"/>
        <v>6</v>
      </c>
      <c r="P153" s="87">
        <f t="shared" si="183"/>
        <v>6</v>
      </c>
      <c r="Q153" s="87">
        <f t="shared" si="190"/>
        <v>6</v>
      </c>
      <c r="R153" s="87">
        <f t="shared" si="151"/>
        <v>6</v>
      </c>
      <c r="S153" s="87">
        <f t="shared" si="179"/>
        <v>6</v>
      </c>
      <c r="T153" s="87">
        <f t="shared" si="191"/>
        <v>6</v>
      </c>
      <c r="U153" s="87">
        <f t="shared" si="170"/>
        <v>6</v>
      </c>
      <c r="V153" s="87">
        <f t="shared" si="180"/>
        <v>6</v>
      </c>
      <c r="W153" s="87">
        <f t="shared" si="154"/>
        <v>6</v>
      </c>
      <c r="X153" s="87">
        <f>W153+0</f>
        <v>6</v>
      </c>
      <c r="Y153" s="87">
        <f t="shared" si="152"/>
        <v>6</v>
      </c>
      <c r="Z153" s="87">
        <f t="shared" si="192"/>
        <v>6</v>
      </c>
      <c r="AA153" s="87">
        <f t="shared" si="157"/>
        <v>6</v>
      </c>
      <c r="AB153" s="87">
        <f t="shared" si="168"/>
        <v>6</v>
      </c>
      <c r="AC153" s="87">
        <f t="shared" si="153"/>
        <v>6</v>
      </c>
      <c r="AD153" s="87">
        <f t="shared" si="160"/>
        <v>6</v>
      </c>
      <c r="AE153" s="87">
        <f t="shared" si="155"/>
        <v>6</v>
      </c>
      <c r="AF153" s="87">
        <f t="shared" si="174"/>
        <v>6</v>
      </c>
      <c r="AG153" s="87">
        <f t="shared" si="172"/>
        <v>6</v>
      </c>
      <c r="AH153" s="87">
        <f t="shared" si="172"/>
        <v>6</v>
      </c>
      <c r="AI153" s="87">
        <f>AH153+1</f>
        <v>7</v>
      </c>
      <c r="AJ153" s="87">
        <f t="shared" ref="AJ153:AJ190" si="193">AI153+0</f>
        <v>7</v>
      </c>
      <c r="AK153" s="87">
        <f t="shared" si="161"/>
        <v>7</v>
      </c>
      <c r="AL153" s="68">
        <v>720</v>
      </c>
      <c r="AM153" s="4">
        <v>1</v>
      </c>
      <c r="AN153" s="15" t="s">
        <v>252</v>
      </c>
      <c r="AO153" s="15" t="s">
        <v>250</v>
      </c>
      <c r="AP153" s="15">
        <v>1960</v>
      </c>
      <c r="AQ153" s="15" t="s">
        <v>255</v>
      </c>
    </row>
    <row r="154" spans="1:44" x14ac:dyDescent="0.3">
      <c r="A154" s="1">
        <v>7</v>
      </c>
      <c r="B154" s="87">
        <v>0</v>
      </c>
      <c r="C154" s="87">
        <f t="shared" si="182"/>
        <v>0</v>
      </c>
      <c r="D154" s="87">
        <f t="shared" si="184"/>
        <v>0</v>
      </c>
      <c r="E154" s="87">
        <f t="shared" si="181"/>
        <v>0</v>
      </c>
      <c r="F154" s="87">
        <f t="shared" si="186"/>
        <v>0</v>
      </c>
      <c r="G154" s="87">
        <f t="shared" si="185"/>
        <v>0</v>
      </c>
      <c r="H154" s="87">
        <f t="shared" si="187"/>
        <v>0</v>
      </c>
      <c r="I154" s="87">
        <f>H154+3</f>
        <v>3</v>
      </c>
      <c r="J154" s="87">
        <f t="shared" si="188"/>
        <v>3</v>
      </c>
      <c r="K154" s="87">
        <f t="shared" si="175"/>
        <v>3</v>
      </c>
      <c r="L154" s="87">
        <f t="shared" si="178"/>
        <v>3</v>
      </c>
      <c r="M154" s="87">
        <f t="shared" si="189"/>
        <v>3</v>
      </c>
      <c r="N154" s="87">
        <f t="shared" si="173"/>
        <v>3</v>
      </c>
      <c r="O154" s="87">
        <f t="shared" si="176"/>
        <v>3</v>
      </c>
      <c r="P154" s="87">
        <f t="shared" si="183"/>
        <v>3</v>
      </c>
      <c r="Q154" s="87">
        <f t="shared" si="190"/>
        <v>3</v>
      </c>
      <c r="R154" s="87">
        <f t="shared" si="151"/>
        <v>3</v>
      </c>
      <c r="S154" s="87">
        <f t="shared" si="179"/>
        <v>3</v>
      </c>
      <c r="T154" s="87">
        <f t="shared" si="191"/>
        <v>3</v>
      </c>
      <c r="U154" s="87">
        <f t="shared" si="170"/>
        <v>3</v>
      </c>
      <c r="V154" s="87">
        <f t="shared" si="180"/>
        <v>3</v>
      </c>
      <c r="W154" s="87">
        <f t="shared" si="154"/>
        <v>3</v>
      </c>
      <c r="X154" s="87">
        <f>W154+3</f>
        <v>6</v>
      </c>
      <c r="Y154" s="87">
        <f t="shared" si="152"/>
        <v>6</v>
      </c>
      <c r="Z154" s="87">
        <f t="shared" si="192"/>
        <v>6</v>
      </c>
      <c r="AA154" s="87">
        <f t="shared" si="157"/>
        <v>6</v>
      </c>
      <c r="AB154" s="87">
        <f t="shared" si="168"/>
        <v>6</v>
      </c>
      <c r="AC154" s="87">
        <f t="shared" si="153"/>
        <v>6</v>
      </c>
      <c r="AD154" s="87">
        <f t="shared" si="160"/>
        <v>6</v>
      </c>
      <c r="AE154" s="87">
        <f>AD154+1</f>
        <v>7</v>
      </c>
      <c r="AF154" s="87">
        <f t="shared" si="174"/>
        <v>7</v>
      </c>
      <c r="AG154" s="87">
        <f t="shared" si="172"/>
        <v>7</v>
      </c>
      <c r="AH154" s="87">
        <f t="shared" si="172"/>
        <v>7</v>
      </c>
      <c r="AI154" s="87">
        <f>AH154+0</f>
        <v>7</v>
      </c>
      <c r="AJ154" s="87">
        <f t="shared" si="193"/>
        <v>7</v>
      </c>
      <c r="AK154" s="87">
        <f t="shared" si="161"/>
        <v>7</v>
      </c>
      <c r="AL154" s="68">
        <v>1080</v>
      </c>
      <c r="AM154" s="4">
        <v>1</v>
      </c>
      <c r="AN154" s="15" t="s">
        <v>253</v>
      </c>
      <c r="AO154" s="15" t="s">
        <v>250</v>
      </c>
      <c r="AP154" s="15">
        <v>1960</v>
      </c>
      <c r="AQ154" s="15" t="s">
        <v>255</v>
      </c>
    </row>
    <row r="155" spans="1:44" x14ac:dyDescent="0.3">
      <c r="A155" s="1">
        <v>3</v>
      </c>
      <c r="B155" s="87">
        <v>0</v>
      </c>
      <c r="C155" s="87">
        <f t="shared" si="182"/>
        <v>0</v>
      </c>
      <c r="D155" s="87">
        <f t="shared" si="184"/>
        <v>0</v>
      </c>
      <c r="E155" s="87">
        <f t="shared" si="181"/>
        <v>0</v>
      </c>
      <c r="F155" s="87">
        <f t="shared" si="186"/>
        <v>0</v>
      </c>
      <c r="G155" s="87">
        <f t="shared" si="185"/>
        <v>0</v>
      </c>
      <c r="H155" s="87">
        <f t="shared" si="187"/>
        <v>0</v>
      </c>
      <c r="I155" s="87">
        <f>H155+1</f>
        <v>1</v>
      </c>
      <c r="J155" s="87">
        <f t="shared" si="188"/>
        <v>1</v>
      </c>
      <c r="K155" s="87">
        <f t="shared" si="175"/>
        <v>1</v>
      </c>
      <c r="L155" s="87">
        <f t="shared" si="178"/>
        <v>1</v>
      </c>
      <c r="M155" s="87">
        <f t="shared" si="189"/>
        <v>1</v>
      </c>
      <c r="N155" s="87">
        <f t="shared" si="173"/>
        <v>1</v>
      </c>
      <c r="O155" s="87">
        <f t="shared" si="176"/>
        <v>1</v>
      </c>
      <c r="P155" s="87">
        <f t="shared" si="183"/>
        <v>1</v>
      </c>
      <c r="Q155" s="87">
        <f t="shared" si="190"/>
        <v>1</v>
      </c>
      <c r="R155" s="87">
        <f t="shared" si="151"/>
        <v>1</v>
      </c>
      <c r="S155" s="87">
        <f t="shared" si="179"/>
        <v>1</v>
      </c>
      <c r="T155" s="87">
        <f t="shared" si="191"/>
        <v>1</v>
      </c>
      <c r="U155" s="87">
        <f t="shared" si="170"/>
        <v>1</v>
      </c>
      <c r="V155" s="87">
        <f t="shared" si="180"/>
        <v>1</v>
      </c>
      <c r="W155" s="87">
        <f t="shared" si="154"/>
        <v>1</v>
      </c>
      <c r="X155" s="87">
        <f>W155+1</f>
        <v>2</v>
      </c>
      <c r="Y155" s="87">
        <f t="shared" si="152"/>
        <v>2</v>
      </c>
      <c r="Z155" s="87">
        <f t="shared" si="192"/>
        <v>2</v>
      </c>
      <c r="AA155" s="87">
        <f t="shared" si="157"/>
        <v>2</v>
      </c>
      <c r="AB155" s="87">
        <f t="shared" si="168"/>
        <v>2</v>
      </c>
      <c r="AC155" s="87">
        <f t="shared" si="153"/>
        <v>2</v>
      </c>
      <c r="AD155" s="87">
        <f t="shared" si="160"/>
        <v>2</v>
      </c>
      <c r="AE155" s="87">
        <f>AD155+0</f>
        <v>2</v>
      </c>
      <c r="AF155" s="87">
        <f t="shared" si="174"/>
        <v>2</v>
      </c>
      <c r="AG155" s="87">
        <f t="shared" si="172"/>
        <v>2</v>
      </c>
      <c r="AH155" s="87">
        <f t="shared" si="172"/>
        <v>2</v>
      </c>
      <c r="AI155" s="87">
        <f>AH155+1</f>
        <v>3</v>
      </c>
      <c r="AJ155" s="87">
        <f t="shared" si="193"/>
        <v>3</v>
      </c>
      <c r="AK155" s="87">
        <f t="shared" si="161"/>
        <v>3</v>
      </c>
      <c r="AL155" s="68">
        <v>1440</v>
      </c>
      <c r="AM155" s="4">
        <v>1</v>
      </c>
      <c r="AN155" s="15" t="s">
        <v>254</v>
      </c>
      <c r="AO155" s="15" t="s">
        <v>250</v>
      </c>
      <c r="AP155" s="15">
        <v>1960</v>
      </c>
      <c r="AQ155" s="15" t="s">
        <v>255</v>
      </c>
    </row>
    <row r="156" spans="1:44" x14ac:dyDescent="0.3">
      <c r="A156" s="67">
        <v>1</v>
      </c>
      <c r="B156" s="87">
        <v>0</v>
      </c>
      <c r="C156" s="87">
        <f t="shared" si="182"/>
        <v>0</v>
      </c>
      <c r="D156" s="87">
        <f t="shared" si="184"/>
        <v>0</v>
      </c>
      <c r="E156" s="87">
        <f t="shared" si="181"/>
        <v>0</v>
      </c>
      <c r="F156" s="87">
        <f t="shared" si="186"/>
        <v>0</v>
      </c>
      <c r="G156" s="87">
        <f t="shared" si="185"/>
        <v>0</v>
      </c>
      <c r="H156" s="87">
        <f t="shared" si="187"/>
        <v>0</v>
      </c>
      <c r="I156" s="87">
        <f t="shared" ref="I156:I163" si="194">H156+0</f>
        <v>0</v>
      </c>
      <c r="J156" s="87">
        <f t="shared" si="188"/>
        <v>0</v>
      </c>
      <c r="K156" s="87">
        <f t="shared" si="175"/>
        <v>0</v>
      </c>
      <c r="L156" s="87">
        <f t="shared" si="178"/>
        <v>0</v>
      </c>
      <c r="M156" s="87">
        <f t="shared" si="189"/>
        <v>0</v>
      </c>
      <c r="N156" s="87">
        <f t="shared" si="173"/>
        <v>0</v>
      </c>
      <c r="O156" s="87">
        <f t="shared" si="176"/>
        <v>0</v>
      </c>
      <c r="P156" s="87">
        <f t="shared" si="183"/>
        <v>0</v>
      </c>
      <c r="Q156" s="87">
        <f t="shared" si="190"/>
        <v>0</v>
      </c>
      <c r="R156" s="87">
        <f t="shared" si="151"/>
        <v>0</v>
      </c>
      <c r="S156" s="87">
        <f t="shared" si="179"/>
        <v>0</v>
      </c>
      <c r="T156" s="87">
        <f t="shared" si="191"/>
        <v>0</v>
      </c>
      <c r="U156" s="87">
        <f t="shared" si="170"/>
        <v>0</v>
      </c>
      <c r="V156" s="87">
        <f t="shared" si="180"/>
        <v>0</v>
      </c>
      <c r="W156" s="87">
        <f t="shared" si="154"/>
        <v>0</v>
      </c>
      <c r="X156" s="87">
        <f>W156+0</f>
        <v>0</v>
      </c>
      <c r="Y156" s="87">
        <f t="shared" si="152"/>
        <v>0</v>
      </c>
      <c r="Z156" s="87">
        <f t="shared" si="192"/>
        <v>0</v>
      </c>
      <c r="AA156" s="87">
        <f t="shared" si="157"/>
        <v>0</v>
      </c>
      <c r="AB156" s="87">
        <f t="shared" si="168"/>
        <v>0</v>
      </c>
      <c r="AC156" s="87">
        <f t="shared" si="153"/>
        <v>0</v>
      </c>
      <c r="AD156" s="87">
        <f t="shared" si="160"/>
        <v>0</v>
      </c>
      <c r="AE156" s="87">
        <f>AD156+1</f>
        <v>1</v>
      </c>
      <c r="AF156" s="87">
        <f t="shared" si="174"/>
        <v>1</v>
      </c>
      <c r="AG156" s="87">
        <f t="shared" si="172"/>
        <v>1</v>
      </c>
      <c r="AH156" s="87">
        <f t="shared" si="172"/>
        <v>1</v>
      </c>
      <c r="AI156" s="87">
        <f t="shared" ref="AI156:AI161" si="195">AH156+0</f>
        <v>1</v>
      </c>
      <c r="AJ156" s="87">
        <f t="shared" si="193"/>
        <v>1</v>
      </c>
      <c r="AK156" s="87">
        <f t="shared" si="161"/>
        <v>1</v>
      </c>
      <c r="AL156" s="68">
        <v>2700</v>
      </c>
      <c r="AM156" s="4">
        <v>1</v>
      </c>
      <c r="AN156" s="15" t="s">
        <v>256</v>
      </c>
      <c r="AO156" s="15" t="s">
        <v>250</v>
      </c>
      <c r="AP156" s="15">
        <v>1960</v>
      </c>
      <c r="AQ156" s="15" t="s">
        <v>255</v>
      </c>
    </row>
    <row r="157" spans="1:44" x14ac:dyDescent="0.3">
      <c r="A157" s="1">
        <v>14</v>
      </c>
      <c r="B157" s="87">
        <v>0</v>
      </c>
      <c r="C157" s="87">
        <f t="shared" si="182"/>
        <v>0</v>
      </c>
      <c r="D157" s="87">
        <f t="shared" si="184"/>
        <v>0</v>
      </c>
      <c r="E157" s="87">
        <f t="shared" si="181"/>
        <v>0</v>
      </c>
      <c r="F157" s="87">
        <f t="shared" si="186"/>
        <v>0</v>
      </c>
      <c r="G157" s="87">
        <f t="shared" si="185"/>
        <v>0</v>
      </c>
      <c r="H157" s="87">
        <f t="shared" si="187"/>
        <v>0</v>
      </c>
      <c r="I157" s="87">
        <f t="shared" si="194"/>
        <v>0</v>
      </c>
      <c r="J157" s="87">
        <f t="shared" si="188"/>
        <v>0</v>
      </c>
      <c r="K157" s="87">
        <f t="shared" si="175"/>
        <v>0</v>
      </c>
      <c r="L157" s="87">
        <f t="shared" si="178"/>
        <v>0</v>
      </c>
      <c r="M157" s="87">
        <f t="shared" si="189"/>
        <v>0</v>
      </c>
      <c r="N157" s="87">
        <f t="shared" si="173"/>
        <v>0</v>
      </c>
      <c r="O157" s="87">
        <f t="shared" si="176"/>
        <v>0</v>
      </c>
      <c r="P157" s="87">
        <f t="shared" si="183"/>
        <v>0</v>
      </c>
      <c r="Q157" s="87">
        <f t="shared" si="190"/>
        <v>0</v>
      </c>
      <c r="R157" s="87">
        <f t="shared" si="151"/>
        <v>0</v>
      </c>
      <c r="S157" s="87">
        <f t="shared" si="179"/>
        <v>0</v>
      </c>
      <c r="T157" s="87">
        <f t="shared" si="191"/>
        <v>0</v>
      </c>
      <c r="U157" s="87">
        <f t="shared" si="170"/>
        <v>0</v>
      </c>
      <c r="V157" s="87">
        <f t="shared" si="180"/>
        <v>0</v>
      </c>
      <c r="W157" s="87">
        <f t="shared" si="154"/>
        <v>0</v>
      </c>
      <c r="X157" s="87">
        <f>W157+13</f>
        <v>13</v>
      </c>
      <c r="Y157" s="87">
        <f t="shared" si="152"/>
        <v>13</v>
      </c>
      <c r="Z157" s="87">
        <f t="shared" si="192"/>
        <v>13</v>
      </c>
      <c r="AA157" s="87">
        <f t="shared" si="157"/>
        <v>13</v>
      </c>
      <c r="AB157" s="87">
        <f t="shared" si="168"/>
        <v>13</v>
      </c>
      <c r="AC157" s="87">
        <f t="shared" si="153"/>
        <v>13</v>
      </c>
      <c r="AD157" s="87">
        <f t="shared" si="160"/>
        <v>13</v>
      </c>
      <c r="AE157" s="87">
        <f t="shared" ref="AE157:AE168" si="196">AD157+0</f>
        <v>13</v>
      </c>
      <c r="AF157" s="87">
        <f>AE157+1</f>
        <v>14</v>
      </c>
      <c r="AG157" s="87">
        <f t="shared" si="172"/>
        <v>14</v>
      </c>
      <c r="AH157" s="87">
        <f t="shared" si="172"/>
        <v>14</v>
      </c>
      <c r="AI157" s="87">
        <f t="shared" si="195"/>
        <v>14</v>
      </c>
      <c r="AJ157" s="87">
        <f t="shared" si="193"/>
        <v>14</v>
      </c>
      <c r="AK157" s="87">
        <f t="shared" si="161"/>
        <v>14</v>
      </c>
      <c r="AL157" s="68">
        <v>360</v>
      </c>
      <c r="AM157" s="4">
        <v>2</v>
      </c>
      <c r="AN157" s="15" t="s">
        <v>251</v>
      </c>
      <c r="AO157" s="15" t="s">
        <v>250</v>
      </c>
      <c r="AP157" s="15">
        <v>1960</v>
      </c>
      <c r="AQ157" s="15" t="s">
        <v>255</v>
      </c>
    </row>
    <row r="158" spans="1:44" x14ac:dyDescent="0.3">
      <c r="A158" s="1">
        <v>7</v>
      </c>
      <c r="B158" s="87">
        <v>0</v>
      </c>
      <c r="C158" s="87">
        <f t="shared" si="182"/>
        <v>0</v>
      </c>
      <c r="D158" s="87">
        <f t="shared" si="184"/>
        <v>0</v>
      </c>
      <c r="E158" s="87">
        <f t="shared" si="181"/>
        <v>0</v>
      </c>
      <c r="F158" s="87">
        <f t="shared" si="186"/>
        <v>0</v>
      </c>
      <c r="G158" s="87">
        <f t="shared" si="185"/>
        <v>0</v>
      </c>
      <c r="H158" s="87">
        <f t="shared" si="187"/>
        <v>0</v>
      </c>
      <c r="I158" s="87">
        <f t="shared" si="194"/>
        <v>0</v>
      </c>
      <c r="J158" s="87">
        <f t="shared" si="188"/>
        <v>0</v>
      </c>
      <c r="K158" s="87">
        <f t="shared" si="175"/>
        <v>0</v>
      </c>
      <c r="L158" s="87">
        <f t="shared" si="178"/>
        <v>0</v>
      </c>
      <c r="M158" s="87">
        <f t="shared" si="189"/>
        <v>0</v>
      </c>
      <c r="N158" s="87">
        <f t="shared" si="173"/>
        <v>0</v>
      </c>
      <c r="O158" s="87">
        <f t="shared" si="176"/>
        <v>0</v>
      </c>
      <c r="P158" s="87">
        <f t="shared" si="183"/>
        <v>0</v>
      </c>
      <c r="Q158" s="87">
        <f t="shared" si="190"/>
        <v>0</v>
      </c>
      <c r="R158" s="87">
        <f t="shared" si="151"/>
        <v>0</v>
      </c>
      <c r="S158" s="87">
        <f t="shared" si="179"/>
        <v>0</v>
      </c>
      <c r="T158" s="87">
        <f t="shared" si="191"/>
        <v>0</v>
      </c>
      <c r="U158" s="87">
        <f t="shared" si="170"/>
        <v>0</v>
      </c>
      <c r="V158" s="87">
        <f t="shared" si="180"/>
        <v>0</v>
      </c>
      <c r="W158" s="87">
        <f t="shared" si="154"/>
        <v>0</v>
      </c>
      <c r="X158" s="87">
        <f>W158+6</f>
        <v>6</v>
      </c>
      <c r="Y158" s="87">
        <f t="shared" si="152"/>
        <v>6</v>
      </c>
      <c r="Z158" s="87">
        <f t="shared" si="192"/>
        <v>6</v>
      </c>
      <c r="AA158" s="87">
        <f t="shared" si="157"/>
        <v>6</v>
      </c>
      <c r="AB158" s="87">
        <f t="shared" si="168"/>
        <v>6</v>
      </c>
      <c r="AC158" s="87">
        <f t="shared" si="153"/>
        <v>6</v>
      </c>
      <c r="AD158" s="87">
        <f t="shared" si="160"/>
        <v>6</v>
      </c>
      <c r="AE158" s="87">
        <f t="shared" si="196"/>
        <v>6</v>
      </c>
      <c r="AF158" s="87">
        <f>AE158+1</f>
        <v>7</v>
      </c>
      <c r="AG158" s="87">
        <f t="shared" ref="AG158:AH166" si="197">AF158+0</f>
        <v>7</v>
      </c>
      <c r="AH158" s="87">
        <f t="shared" si="197"/>
        <v>7</v>
      </c>
      <c r="AI158" s="87">
        <f t="shared" si="195"/>
        <v>7</v>
      </c>
      <c r="AJ158" s="87">
        <f t="shared" si="193"/>
        <v>7</v>
      </c>
      <c r="AK158" s="87">
        <f t="shared" si="161"/>
        <v>7</v>
      </c>
      <c r="AL158" s="68">
        <v>720</v>
      </c>
      <c r="AM158" s="4">
        <v>2</v>
      </c>
      <c r="AN158" s="15" t="s">
        <v>252</v>
      </c>
      <c r="AO158" s="15" t="s">
        <v>250</v>
      </c>
      <c r="AP158" s="15">
        <v>1960</v>
      </c>
      <c r="AQ158" s="15" t="s">
        <v>255</v>
      </c>
    </row>
    <row r="159" spans="1:44" x14ac:dyDescent="0.3">
      <c r="A159" s="1">
        <v>6</v>
      </c>
      <c r="B159" s="87">
        <v>0</v>
      </c>
      <c r="C159" s="87">
        <f t="shared" si="182"/>
        <v>0</v>
      </c>
      <c r="D159" s="87">
        <f t="shared" si="184"/>
        <v>0</v>
      </c>
      <c r="E159" s="87">
        <f t="shared" si="181"/>
        <v>0</v>
      </c>
      <c r="F159" s="87">
        <f t="shared" si="186"/>
        <v>0</v>
      </c>
      <c r="G159" s="87">
        <f t="shared" si="185"/>
        <v>0</v>
      </c>
      <c r="H159" s="87">
        <f t="shared" si="187"/>
        <v>0</v>
      </c>
      <c r="I159" s="87">
        <f t="shared" si="194"/>
        <v>0</v>
      </c>
      <c r="J159" s="87">
        <f t="shared" si="188"/>
        <v>0</v>
      </c>
      <c r="K159" s="87">
        <f t="shared" si="175"/>
        <v>0</v>
      </c>
      <c r="L159" s="87">
        <f t="shared" si="178"/>
        <v>0</v>
      </c>
      <c r="M159" s="87">
        <f t="shared" si="189"/>
        <v>0</v>
      </c>
      <c r="N159" s="87">
        <f t="shared" si="173"/>
        <v>0</v>
      </c>
      <c r="O159" s="87">
        <f t="shared" si="176"/>
        <v>0</v>
      </c>
      <c r="P159" s="87">
        <f t="shared" si="183"/>
        <v>0</v>
      </c>
      <c r="Q159" s="87">
        <f t="shared" si="190"/>
        <v>0</v>
      </c>
      <c r="R159" s="87">
        <f t="shared" si="151"/>
        <v>0</v>
      </c>
      <c r="S159" s="87">
        <f t="shared" si="179"/>
        <v>0</v>
      </c>
      <c r="T159" s="87">
        <f t="shared" si="191"/>
        <v>0</v>
      </c>
      <c r="U159" s="87">
        <f t="shared" si="170"/>
        <v>0</v>
      </c>
      <c r="V159" s="87">
        <f t="shared" si="180"/>
        <v>0</v>
      </c>
      <c r="W159" s="87">
        <f t="shared" si="154"/>
        <v>0</v>
      </c>
      <c r="X159" s="87">
        <f>W159+5</f>
        <v>5</v>
      </c>
      <c r="Y159" s="87">
        <f t="shared" si="152"/>
        <v>5</v>
      </c>
      <c r="Z159" s="87">
        <f t="shared" si="192"/>
        <v>5</v>
      </c>
      <c r="AA159" s="87">
        <f t="shared" si="157"/>
        <v>5</v>
      </c>
      <c r="AB159" s="87">
        <f t="shared" si="168"/>
        <v>5</v>
      </c>
      <c r="AC159" s="87">
        <f t="shared" si="153"/>
        <v>5</v>
      </c>
      <c r="AD159" s="87">
        <f t="shared" si="160"/>
        <v>5</v>
      </c>
      <c r="AE159" s="87">
        <f t="shared" si="196"/>
        <v>5</v>
      </c>
      <c r="AF159" s="87">
        <f>AE159+1</f>
        <v>6</v>
      </c>
      <c r="AG159" s="87">
        <f t="shared" si="197"/>
        <v>6</v>
      </c>
      <c r="AH159" s="87">
        <f t="shared" si="197"/>
        <v>6</v>
      </c>
      <c r="AI159" s="87">
        <f t="shared" si="195"/>
        <v>6</v>
      </c>
      <c r="AJ159" s="87">
        <f t="shared" si="193"/>
        <v>6</v>
      </c>
      <c r="AK159" s="87">
        <f t="shared" si="161"/>
        <v>6</v>
      </c>
      <c r="AL159" s="68">
        <v>1080</v>
      </c>
      <c r="AM159" s="4">
        <v>2</v>
      </c>
      <c r="AN159" s="15" t="s">
        <v>253</v>
      </c>
      <c r="AO159" s="15" t="s">
        <v>250</v>
      </c>
      <c r="AP159" s="15">
        <v>1960</v>
      </c>
      <c r="AQ159" s="15" t="s">
        <v>255</v>
      </c>
    </row>
    <row r="160" spans="1:44" x14ac:dyDescent="0.3">
      <c r="A160" s="1">
        <v>3</v>
      </c>
      <c r="B160" s="87">
        <v>0</v>
      </c>
      <c r="C160" s="87">
        <f t="shared" si="182"/>
        <v>0</v>
      </c>
      <c r="D160" s="87">
        <f t="shared" si="184"/>
        <v>0</v>
      </c>
      <c r="E160" s="87">
        <f t="shared" si="181"/>
        <v>0</v>
      </c>
      <c r="F160" s="87">
        <f t="shared" si="186"/>
        <v>0</v>
      </c>
      <c r="G160" s="87">
        <f t="shared" si="185"/>
        <v>0</v>
      </c>
      <c r="H160" s="87">
        <f t="shared" si="187"/>
        <v>0</v>
      </c>
      <c r="I160" s="87">
        <f t="shared" si="194"/>
        <v>0</v>
      </c>
      <c r="J160" s="87">
        <f t="shared" si="188"/>
        <v>0</v>
      </c>
      <c r="K160" s="87">
        <f t="shared" si="175"/>
        <v>0</v>
      </c>
      <c r="L160" s="87">
        <f t="shared" si="178"/>
        <v>0</v>
      </c>
      <c r="M160" s="87">
        <f t="shared" si="189"/>
        <v>0</v>
      </c>
      <c r="N160" s="87">
        <f t="shared" si="173"/>
        <v>0</v>
      </c>
      <c r="O160" s="87">
        <f t="shared" si="176"/>
        <v>0</v>
      </c>
      <c r="P160" s="87">
        <f t="shared" si="183"/>
        <v>0</v>
      </c>
      <c r="Q160" s="87">
        <f t="shared" si="190"/>
        <v>0</v>
      </c>
      <c r="R160" s="87">
        <f t="shared" ref="R160:R190" si="198">Q160+0</f>
        <v>0</v>
      </c>
      <c r="S160" s="87">
        <f t="shared" si="179"/>
        <v>0</v>
      </c>
      <c r="T160" s="87">
        <f t="shared" si="191"/>
        <v>0</v>
      </c>
      <c r="U160" s="87">
        <f t="shared" si="170"/>
        <v>0</v>
      </c>
      <c r="V160" s="87">
        <f t="shared" si="180"/>
        <v>0</v>
      </c>
      <c r="W160" s="87">
        <f t="shared" si="154"/>
        <v>0</v>
      </c>
      <c r="X160" s="87">
        <f>W160+2</f>
        <v>2</v>
      </c>
      <c r="Y160" s="87">
        <f t="shared" ref="Y160:Y190" si="199">X160+0</f>
        <v>2</v>
      </c>
      <c r="Z160" s="87">
        <f t="shared" si="192"/>
        <v>2</v>
      </c>
      <c r="AA160" s="87">
        <f t="shared" si="157"/>
        <v>2</v>
      </c>
      <c r="AB160" s="87">
        <f t="shared" si="168"/>
        <v>2</v>
      </c>
      <c r="AC160" s="87">
        <f t="shared" ref="AC160:AC190" si="200">AB160+0</f>
        <v>2</v>
      </c>
      <c r="AD160" s="87">
        <f t="shared" si="160"/>
        <v>2</v>
      </c>
      <c r="AE160" s="87">
        <f t="shared" si="196"/>
        <v>2</v>
      </c>
      <c r="AF160" s="87">
        <f>AE160+1</f>
        <v>3</v>
      </c>
      <c r="AG160" s="87">
        <f t="shared" si="197"/>
        <v>3</v>
      </c>
      <c r="AH160" s="87">
        <f t="shared" si="197"/>
        <v>3</v>
      </c>
      <c r="AI160" s="87">
        <f t="shared" si="195"/>
        <v>3</v>
      </c>
      <c r="AJ160" s="87">
        <f t="shared" si="193"/>
        <v>3</v>
      </c>
      <c r="AK160" s="87">
        <f t="shared" si="161"/>
        <v>3</v>
      </c>
      <c r="AL160" s="68">
        <v>1440</v>
      </c>
      <c r="AM160" s="4">
        <v>2</v>
      </c>
      <c r="AN160" s="15" t="s">
        <v>254</v>
      </c>
      <c r="AO160" s="15" t="s">
        <v>250</v>
      </c>
      <c r="AP160" s="15">
        <v>1960</v>
      </c>
      <c r="AQ160" s="15" t="s">
        <v>255</v>
      </c>
    </row>
    <row r="161" spans="1:44" x14ac:dyDescent="0.3">
      <c r="A161" s="1">
        <v>1</v>
      </c>
      <c r="B161" s="87">
        <v>0</v>
      </c>
      <c r="C161" s="87">
        <f t="shared" si="182"/>
        <v>0</v>
      </c>
      <c r="D161" s="87">
        <f t="shared" si="184"/>
        <v>0</v>
      </c>
      <c r="E161" s="87">
        <f t="shared" si="181"/>
        <v>0</v>
      </c>
      <c r="F161" s="87">
        <f t="shared" si="186"/>
        <v>0</v>
      </c>
      <c r="G161" s="87">
        <f t="shared" si="185"/>
        <v>0</v>
      </c>
      <c r="H161" s="87">
        <f t="shared" si="187"/>
        <v>0</v>
      </c>
      <c r="I161" s="87">
        <f t="shared" si="194"/>
        <v>0</v>
      </c>
      <c r="J161" s="87">
        <f t="shared" si="188"/>
        <v>0</v>
      </c>
      <c r="K161" s="87">
        <f t="shared" si="175"/>
        <v>0</v>
      </c>
      <c r="L161" s="87">
        <f t="shared" si="178"/>
        <v>0</v>
      </c>
      <c r="M161" s="87">
        <f t="shared" si="189"/>
        <v>0</v>
      </c>
      <c r="N161" s="87">
        <f t="shared" si="173"/>
        <v>0</v>
      </c>
      <c r="O161" s="87">
        <f t="shared" si="176"/>
        <v>0</v>
      </c>
      <c r="P161" s="87">
        <f t="shared" si="183"/>
        <v>0</v>
      </c>
      <c r="Q161" s="87">
        <f t="shared" si="190"/>
        <v>0</v>
      </c>
      <c r="R161" s="87">
        <f t="shared" si="198"/>
        <v>0</v>
      </c>
      <c r="S161" s="87">
        <f t="shared" si="179"/>
        <v>0</v>
      </c>
      <c r="T161" s="87">
        <f t="shared" si="191"/>
        <v>0</v>
      </c>
      <c r="U161" s="87">
        <f t="shared" si="170"/>
        <v>0</v>
      </c>
      <c r="V161" s="87">
        <f t="shared" si="180"/>
        <v>0</v>
      </c>
      <c r="W161" s="87">
        <f t="shared" ref="W161:W190" si="201">V161+0</f>
        <v>0</v>
      </c>
      <c r="X161" s="87">
        <f>W161+0</f>
        <v>0</v>
      </c>
      <c r="Y161" s="87">
        <f t="shared" si="199"/>
        <v>0</v>
      </c>
      <c r="Z161" s="87">
        <f t="shared" si="192"/>
        <v>0</v>
      </c>
      <c r="AA161" s="87">
        <f t="shared" si="157"/>
        <v>0</v>
      </c>
      <c r="AB161" s="87">
        <f t="shared" si="168"/>
        <v>0</v>
      </c>
      <c r="AC161" s="87">
        <f t="shared" si="200"/>
        <v>0</v>
      </c>
      <c r="AD161" s="87">
        <f t="shared" si="160"/>
        <v>0</v>
      </c>
      <c r="AE161" s="87">
        <f t="shared" si="196"/>
        <v>0</v>
      </c>
      <c r="AF161" s="87">
        <f>AE161+1</f>
        <v>1</v>
      </c>
      <c r="AG161" s="87">
        <f t="shared" si="197"/>
        <v>1</v>
      </c>
      <c r="AH161" s="87">
        <f t="shared" si="197"/>
        <v>1</v>
      </c>
      <c r="AI161" s="87">
        <f t="shared" si="195"/>
        <v>1</v>
      </c>
      <c r="AJ161" s="87">
        <f t="shared" si="193"/>
        <v>1</v>
      </c>
      <c r="AK161" s="87">
        <f t="shared" si="161"/>
        <v>1</v>
      </c>
      <c r="AL161" s="68">
        <v>2700</v>
      </c>
      <c r="AM161" s="4">
        <v>2</v>
      </c>
      <c r="AN161" s="15" t="s">
        <v>256</v>
      </c>
      <c r="AO161" s="15" t="s">
        <v>250</v>
      </c>
      <c r="AP161" s="15">
        <v>1960</v>
      </c>
      <c r="AQ161" s="15" t="s">
        <v>255</v>
      </c>
    </row>
    <row r="162" spans="1:44" x14ac:dyDescent="0.3">
      <c r="A162" s="1">
        <v>6</v>
      </c>
      <c r="B162" s="87">
        <v>0</v>
      </c>
      <c r="C162" s="87">
        <f t="shared" si="182"/>
        <v>0</v>
      </c>
      <c r="D162" s="87">
        <f t="shared" si="184"/>
        <v>0</v>
      </c>
      <c r="E162" s="87">
        <f t="shared" si="181"/>
        <v>0</v>
      </c>
      <c r="F162" s="87">
        <f t="shared" si="186"/>
        <v>0</v>
      </c>
      <c r="G162" s="87">
        <f t="shared" si="185"/>
        <v>0</v>
      </c>
      <c r="H162" s="87">
        <f t="shared" si="187"/>
        <v>0</v>
      </c>
      <c r="I162" s="87">
        <f t="shared" si="194"/>
        <v>0</v>
      </c>
      <c r="J162" s="87">
        <f t="shared" si="188"/>
        <v>0</v>
      </c>
      <c r="K162" s="87">
        <f t="shared" si="175"/>
        <v>0</v>
      </c>
      <c r="L162" s="87">
        <f t="shared" si="178"/>
        <v>0</v>
      </c>
      <c r="M162" s="87">
        <f t="shared" si="189"/>
        <v>0</v>
      </c>
      <c r="N162" s="87">
        <f t="shared" si="173"/>
        <v>0</v>
      </c>
      <c r="O162" s="87">
        <f t="shared" si="176"/>
        <v>0</v>
      </c>
      <c r="P162" s="87">
        <f t="shared" si="183"/>
        <v>0</v>
      </c>
      <c r="Q162" s="87">
        <f t="shared" si="190"/>
        <v>0</v>
      </c>
      <c r="R162" s="87">
        <f t="shared" si="198"/>
        <v>0</v>
      </c>
      <c r="S162" s="87">
        <f t="shared" si="179"/>
        <v>0</v>
      </c>
      <c r="T162" s="87">
        <f t="shared" si="191"/>
        <v>0</v>
      </c>
      <c r="U162" s="87">
        <f t="shared" si="170"/>
        <v>0</v>
      </c>
      <c r="V162" s="87">
        <f t="shared" si="180"/>
        <v>0</v>
      </c>
      <c r="W162" s="87">
        <f t="shared" si="201"/>
        <v>0</v>
      </c>
      <c r="X162" s="87">
        <f>W162+5</f>
        <v>5</v>
      </c>
      <c r="Y162" s="87">
        <f t="shared" si="199"/>
        <v>5</v>
      </c>
      <c r="Z162" s="87">
        <f t="shared" si="192"/>
        <v>5</v>
      </c>
      <c r="AA162" s="87">
        <f t="shared" si="157"/>
        <v>5</v>
      </c>
      <c r="AB162" s="87">
        <f t="shared" si="168"/>
        <v>5</v>
      </c>
      <c r="AC162" s="87">
        <f t="shared" si="200"/>
        <v>5</v>
      </c>
      <c r="AD162" s="87">
        <f t="shared" si="160"/>
        <v>5</v>
      </c>
      <c r="AE162" s="87">
        <f t="shared" si="196"/>
        <v>5</v>
      </c>
      <c r="AF162" s="87">
        <f>AE162+0</f>
        <v>5</v>
      </c>
      <c r="AG162" s="87">
        <f t="shared" si="197"/>
        <v>5</v>
      </c>
      <c r="AH162" s="87">
        <f t="shared" si="197"/>
        <v>5</v>
      </c>
      <c r="AI162" s="87">
        <f>AH162+1</f>
        <v>6</v>
      </c>
      <c r="AJ162" s="87">
        <f t="shared" si="193"/>
        <v>6</v>
      </c>
      <c r="AK162" s="87">
        <f t="shared" si="161"/>
        <v>6</v>
      </c>
      <c r="AL162" s="68">
        <v>360</v>
      </c>
      <c r="AM162" s="4">
        <v>3</v>
      </c>
      <c r="AN162" s="15" t="s">
        <v>251</v>
      </c>
      <c r="AO162" s="15" t="s">
        <v>250</v>
      </c>
      <c r="AP162" s="15">
        <v>1960</v>
      </c>
      <c r="AQ162" s="15" t="s">
        <v>255</v>
      </c>
    </row>
    <row r="163" spans="1:44" x14ac:dyDescent="0.3">
      <c r="A163" s="1">
        <v>7</v>
      </c>
      <c r="B163" s="87">
        <v>0</v>
      </c>
      <c r="C163" s="87">
        <f t="shared" si="182"/>
        <v>0</v>
      </c>
      <c r="D163" s="87">
        <f t="shared" si="184"/>
        <v>0</v>
      </c>
      <c r="E163" s="87">
        <f t="shared" si="181"/>
        <v>0</v>
      </c>
      <c r="F163" s="87">
        <f t="shared" si="186"/>
        <v>0</v>
      </c>
      <c r="G163" s="87">
        <f t="shared" si="185"/>
        <v>0</v>
      </c>
      <c r="H163" s="87">
        <f t="shared" si="187"/>
        <v>0</v>
      </c>
      <c r="I163" s="87">
        <f t="shared" si="194"/>
        <v>0</v>
      </c>
      <c r="J163" s="87">
        <f t="shared" si="188"/>
        <v>0</v>
      </c>
      <c r="K163" s="87">
        <f t="shared" si="175"/>
        <v>0</v>
      </c>
      <c r="L163" s="87">
        <f t="shared" si="178"/>
        <v>0</v>
      </c>
      <c r="M163" s="87">
        <f t="shared" si="189"/>
        <v>0</v>
      </c>
      <c r="N163" s="87">
        <f t="shared" si="173"/>
        <v>0</v>
      </c>
      <c r="O163" s="87">
        <f t="shared" si="176"/>
        <v>0</v>
      </c>
      <c r="P163" s="87">
        <f t="shared" si="183"/>
        <v>0</v>
      </c>
      <c r="Q163" s="87">
        <f t="shared" si="190"/>
        <v>0</v>
      </c>
      <c r="R163" s="87">
        <f t="shared" si="198"/>
        <v>0</v>
      </c>
      <c r="S163" s="87">
        <f t="shared" si="179"/>
        <v>0</v>
      </c>
      <c r="T163" s="87">
        <f t="shared" si="191"/>
        <v>0</v>
      </c>
      <c r="U163" s="87">
        <f t="shared" si="170"/>
        <v>0</v>
      </c>
      <c r="V163" s="87">
        <f t="shared" si="180"/>
        <v>0</v>
      </c>
      <c r="W163" s="87">
        <f t="shared" si="201"/>
        <v>0</v>
      </c>
      <c r="X163" s="87">
        <f>W163+7</f>
        <v>7</v>
      </c>
      <c r="Y163" s="87">
        <f t="shared" si="199"/>
        <v>7</v>
      </c>
      <c r="Z163" s="87">
        <f t="shared" si="192"/>
        <v>7</v>
      </c>
      <c r="AA163" s="87">
        <f t="shared" ref="AA163:AA190" si="202">Z163+0</f>
        <v>7</v>
      </c>
      <c r="AB163" s="87">
        <f t="shared" si="168"/>
        <v>7</v>
      </c>
      <c r="AC163" s="87">
        <f t="shared" si="200"/>
        <v>7</v>
      </c>
      <c r="AD163" s="87">
        <f t="shared" si="160"/>
        <v>7</v>
      </c>
      <c r="AE163" s="87">
        <f t="shared" si="196"/>
        <v>7</v>
      </c>
      <c r="AF163" s="87">
        <f>AE163+0</f>
        <v>7</v>
      </c>
      <c r="AG163" s="87">
        <f t="shared" si="197"/>
        <v>7</v>
      </c>
      <c r="AH163" s="87">
        <f t="shared" si="197"/>
        <v>7</v>
      </c>
      <c r="AI163" s="87">
        <f t="shared" ref="AI163:AI190" si="203">AH163+0</f>
        <v>7</v>
      </c>
      <c r="AJ163" s="87">
        <f t="shared" si="193"/>
        <v>7</v>
      </c>
      <c r="AK163" s="87">
        <f t="shared" si="161"/>
        <v>7</v>
      </c>
      <c r="AL163" s="68">
        <v>720</v>
      </c>
      <c r="AM163" s="4">
        <v>3</v>
      </c>
      <c r="AN163" s="15" t="s">
        <v>252</v>
      </c>
      <c r="AO163" s="15" t="s">
        <v>250</v>
      </c>
      <c r="AP163" s="15">
        <v>1960</v>
      </c>
      <c r="AQ163" s="15" t="s">
        <v>255</v>
      </c>
    </row>
    <row r="164" spans="1:44" x14ac:dyDescent="0.3">
      <c r="A164" s="1">
        <v>5</v>
      </c>
      <c r="B164" s="87">
        <v>0</v>
      </c>
      <c r="C164" s="87">
        <f t="shared" si="182"/>
        <v>0</v>
      </c>
      <c r="D164" s="87">
        <f t="shared" si="184"/>
        <v>0</v>
      </c>
      <c r="E164" s="87">
        <f t="shared" si="181"/>
        <v>0</v>
      </c>
      <c r="F164" s="87">
        <f t="shared" si="186"/>
        <v>0</v>
      </c>
      <c r="G164" s="87">
        <f t="shared" si="185"/>
        <v>0</v>
      </c>
      <c r="H164" s="87">
        <f t="shared" si="187"/>
        <v>0</v>
      </c>
      <c r="I164" s="87">
        <f>H164+2</f>
        <v>2</v>
      </c>
      <c r="J164" s="87">
        <f t="shared" si="188"/>
        <v>2</v>
      </c>
      <c r="K164" s="87">
        <f t="shared" si="175"/>
        <v>2</v>
      </c>
      <c r="L164" s="87">
        <f t="shared" si="178"/>
        <v>2</v>
      </c>
      <c r="M164" s="87">
        <f t="shared" si="189"/>
        <v>2</v>
      </c>
      <c r="N164" s="87">
        <f t="shared" si="173"/>
        <v>2</v>
      </c>
      <c r="O164" s="87">
        <f t="shared" si="176"/>
        <v>2</v>
      </c>
      <c r="P164" s="87">
        <f t="shared" si="183"/>
        <v>2</v>
      </c>
      <c r="Q164" s="87">
        <f t="shared" si="190"/>
        <v>2</v>
      </c>
      <c r="R164" s="87">
        <f t="shared" si="198"/>
        <v>2</v>
      </c>
      <c r="S164" s="87">
        <f t="shared" si="179"/>
        <v>2</v>
      </c>
      <c r="T164" s="87">
        <f t="shared" si="191"/>
        <v>2</v>
      </c>
      <c r="U164" s="87">
        <f t="shared" si="170"/>
        <v>2</v>
      </c>
      <c r="V164" s="87">
        <f t="shared" si="180"/>
        <v>2</v>
      </c>
      <c r="W164" s="87">
        <f t="shared" si="201"/>
        <v>2</v>
      </c>
      <c r="X164" s="87">
        <f>W164+2</f>
        <v>4</v>
      </c>
      <c r="Y164" s="87">
        <f t="shared" si="199"/>
        <v>4</v>
      </c>
      <c r="Z164" s="87">
        <f t="shared" si="192"/>
        <v>4</v>
      </c>
      <c r="AA164" s="87">
        <f t="shared" si="202"/>
        <v>4</v>
      </c>
      <c r="AB164" s="87">
        <f t="shared" si="168"/>
        <v>4</v>
      </c>
      <c r="AC164" s="87">
        <f t="shared" si="200"/>
        <v>4</v>
      </c>
      <c r="AD164" s="87">
        <f t="shared" ref="AD164:AD190" si="204">AC164+0</f>
        <v>4</v>
      </c>
      <c r="AE164" s="87">
        <f t="shared" si="196"/>
        <v>4</v>
      </c>
      <c r="AF164" s="87">
        <f>AE164+1</f>
        <v>5</v>
      </c>
      <c r="AG164" s="87">
        <f t="shared" si="197"/>
        <v>5</v>
      </c>
      <c r="AH164" s="87">
        <f t="shared" si="197"/>
        <v>5</v>
      </c>
      <c r="AI164" s="87">
        <f t="shared" si="203"/>
        <v>5</v>
      </c>
      <c r="AJ164" s="87">
        <f t="shared" si="193"/>
        <v>5</v>
      </c>
      <c r="AK164" s="87">
        <f t="shared" ref="AK164:AK190" si="205">AJ164+0</f>
        <v>5</v>
      </c>
      <c r="AL164" s="68">
        <v>1080</v>
      </c>
      <c r="AM164" s="4">
        <v>3</v>
      </c>
      <c r="AN164" s="15" t="s">
        <v>253</v>
      </c>
      <c r="AO164" s="15" t="s">
        <v>250</v>
      </c>
      <c r="AP164" s="15">
        <v>1960</v>
      </c>
      <c r="AQ164" s="15" t="s">
        <v>255</v>
      </c>
    </row>
    <row r="165" spans="1:44" x14ac:dyDescent="0.3">
      <c r="A165" s="1">
        <v>5</v>
      </c>
      <c r="B165" s="87">
        <v>0</v>
      </c>
      <c r="C165" s="87">
        <f t="shared" si="182"/>
        <v>0</v>
      </c>
      <c r="D165" s="87">
        <f t="shared" si="184"/>
        <v>0</v>
      </c>
      <c r="E165" s="87">
        <f t="shared" si="181"/>
        <v>0</v>
      </c>
      <c r="F165" s="87">
        <f t="shared" si="186"/>
        <v>0</v>
      </c>
      <c r="G165" s="87">
        <f t="shared" si="185"/>
        <v>0</v>
      </c>
      <c r="H165" s="87">
        <f t="shared" si="187"/>
        <v>0</v>
      </c>
      <c r="I165" s="87">
        <f t="shared" ref="I165:I190" si="206">H165+0</f>
        <v>0</v>
      </c>
      <c r="J165" s="87">
        <f t="shared" si="188"/>
        <v>0</v>
      </c>
      <c r="K165" s="87">
        <f t="shared" si="175"/>
        <v>0</v>
      </c>
      <c r="L165" s="87">
        <f t="shared" si="178"/>
        <v>0</v>
      </c>
      <c r="M165" s="87">
        <f t="shared" si="189"/>
        <v>0</v>
      </c>
      <c r="N165" s="87">
        <f t="shared" si="173"/>
        <v>0</v>
      </c>
      <c r="O165" s="87">
        <f t="shared" si="176"/>
        <v>0</v>
      </c>
      <c r="P165" s="87">
        <f t="shared" si="183"/>
        <v>0</v>
      </c>
      <c r="Q165" s="87">
        <f t="shared" si="190"/>
        <v>0</v>
      </c>
      <c r="R165" s="87">
        <f t="shared" si="198"/>
        <v>0</v>
      </c>
      <c r="S165" s="87">
        <f t="shared" si="179"/>
        <v>0</v>
      </c>
      <c r="T165" s="87">
        <f t="shared" si="191"/>
        <v>0</v>
      </c>
      <c r="U165" s="87">
        <f t="shared" si="170"/>
        <v>0</v>
      </c>
      <c r="V165" s="87">
        <f t="shared" si="180"/>
        <v>0</v>
      </c>
      <c r="W165" s="87">
        <f t="shared" si="201"/>
        <v>0</v>
      </c>
      <c r="X165" s="87">
        <f>W165+5</f>
        <v>5</v>
      </c>
      <c r="Y165" s="87">
        <f t="shared" si="199"/>
        <v>5</v>
      </c>
      <c r="Z165" s="87">
        <f t="shared" si="192"/>
        <v>5</v>
      </c>
      <c r="AA165" s="87">
        <f t="shared" si="202"/>
        <v>5</v>
      </c>
      <c r="AB165" s="87">
        <f t="shared" si="168"/>
        <v>5</v>
      </c>
      <c r="AC165" s="87">
        <f t="shared" si="200"/>
        <v>5</v>
      </c>
      <c r="AD165" s="87">
        <f t="shared" si="204"/>
        <v>5</v>
      </c>
      <c r="AE165" s="87">
        <f t="shared" si="196"/>
        <v>5</v>
      </c>
      <c r="AF165" s="87">
        <f t="shared" ref="AF165:AF190" si="207">AE165+0</f>
        <v>5</v>
      </c>
      <c r="AG165" s="87">
        <f t="shared" si="197"/>
        <v>5</v>
      </c>
      <c r="AH165" s="87">
        <f t="shared" si="197"/>
        <v>5</v>
      </c>
      <c r="AI165" s="87">
        <f t="shared" si="203"/>
        <v>5</v>
      </c>
      <c r="AJ165" s="87">
        <f t="shared" si="193"/>
        <v>5</v>
      </c>
      <c r="AK165" s="87">
        <f t="shared" si="205"/>
        <v>5</v>
      </c>
      <c r="AL165" s="68">
        <v>1440</v>
      </c>
      <c r="AM165" s="4">
        <v>3</v>
      </c>
      <c r="AN165" s="15" t="s">
        <v>254</v>
      </c>
      <c r="AO165" s="15" t="s">
        <v>250</v>
      </c>
      <c r="AP165" s="15">
        <v>1960</v>
      </c>
      <c r="AQ165" s="15" t="s">
        <v>255</v>
      </c>
    </row>
    <row r="166" spans="1:44" x14ac:dyDescent="0.3">
      <c r="A166" s="1">
        <v>1</v>
      </c>
      <c r="B166" s="87">
        <v>0</v>
      </c>
      <c r="C166" s="87">
        <f t="shared" si="182"/>
        <v>0</v>
      </c>
      <c r="D166" s="87">
        <f t="shared" si="184"/>
        <v>0</v>
      </c>
      <c r="E166" s="87">
        <f t="shared" si="181"/>
        <v>0</v>
      </c>
      <c r="F166" s="87">
        <f t="shared" si="186"/>
        <v>0</v>
      </c>
      <c r="G166" s="87">
        <f t="shared" si="185"/>
        <v>0</v>
      </c>
      <c r="H166" s="87">
        <f t="shared" si="187"/>
        <v>0</v>
      </c>
      <c r="I166" s="87">
        <f t="shared" si="206"/>
        <v>0</v>
      </c>
      <c r="J166" s="87">
        <f t="shared" si="188"/>
        <v>0</v>
      </c>
      <c r="K166" s="87">
        <f t="shared" si="175"/>
        <v>0</v>
      </c>
      <c r="L166" s="87">
        <f t="shared" si="178"/>
        <v>0</v>
      </c>
      <c r="M166" s="87">
        <f t="shared" si="189"/>
        <v>0</v>
      </c>
      <c r="N166" s="87">
        <f t="shared" si="173"/>
        <v>0</v>
      </c>
      <c r="O166" s="87">
        <f t="shared" si="176"/>
        <v>0</v>
      </c>
      <c r="P166" s="87">
        <f t="shared" si="183"/>
        <v>0</v>
      </c>
      <c r="Q166" s="87">
        <f t="shared" si="190"/>
        <v>0</v>
      </c>
      <c r="R166" s="87">
        <f t="shared" si="198"/>
        <v>0</v>
      </c>
      <c r="S166" s="87">
        <f t="shared" si="179"/>
        <v>0</v>
      </c>
      <c r="T166" s="87">
        <f t="shared" si="191"/>
        <v>0</v>
      </c>
      <c r="U166" s="87">
        <f t="shared" si="170"/>
        <v>0</v>
      </c>
      <c r="V166" s="87">
        <f t="shared" si="180"/>
        <v>0</v>
      </c>
      <c r="W166" s="87">
        <f t="shared" si="201"/>
        <v>0</v>
      </c>
      <c r="X166" s="87">
        <f>W166+1</f>
        <v>1</v>
      </c>
      <c r="Y166" s="87">
        <f t="shared" si="199"/>
        <v>1</v>
      </c>
      <c r="Z166" s="87">
        <f t="shared" si="192"/>
        <v>1</v>
      </c>
      <c r="AA166" s="87">
        <f t="shared" si="202"/>
        <v>1</v>
      </c>
      <c r="AB166" s="87">
        <f t="shared" si="168"/>
        <v>1</v>
      </c>
      <c r="AC166" s="87">
        <f t="shared" si="200"/>
        <v>1</v>
      </c>
      <c r="AD166" s="87">
        <f t="shared" si="204"/>
        <v>1</v>
      </c>
      <c r="AE166" s="87">
        <f t="shared" si="196"/>
        <v>1</v>
      </c>
      <c r="AF166" s="87">
        <f t="shared" si="207"/>
        <v>1</v>
      </c>
      <c r="AG166" s="87">
        <f t="shared" si="197"/>
        <v>1</v>
      </c>
      <c r="AH166" s="87">
        <f t="shared" si="197"/>
        <v>1</v>
      </c>
      <c r="AI166" s="87">
        <f t="shared" si="203"/>
        <v>1</v>
      </c>
      <c r="AJ166" s="87">
        <f t="shared" si="193"/>
        <v>1</v>
      </c>
      <c r="AK166" s="87">
        <f t="shared" si="205"/>
        <v>1</v>
      </c>
      <c r="AL166" s="68">
        <v>2700</v>
      </c>
      <c r="AM166" s="4">
        <v>3</v>
      </c>
      <c r="AN166" s="15" t="s">
        <v>256</v>
      </c>
      <c r="AO166" s="15" t="s">
        <v>250</v>
      </c>
      <c r="AP166" s="15">
        <v>1960</v>
      </c>
      <c r="AQ166" s="15" t="s">
        <v>255</v>
      </c>
    </row>
    <row r="167" spans="1:44" x14ac:dyDescent="0.3">
      <c r="A167" s="1">
        <v>21</v>
      </c>
      <c r="B167" s="87">
        <v>0</v>
      </c>
      <c r="C167" s="87">
        <f t="shared" si="182"/>
        <v>0</v>
      </c>
      <c r="D167" s="87">
        <f t="shared" si="184"/>
        <v>0</v>
      </c>
      <c r="E167" s="87">
        <f t="shared" si="181"/>
        <v>0</v>
      </c>
      <c r="F167" s="87">
        <f t="shared" si="186"/>
        <v>0</v>
      </c>
      <c r="G167" s="87">
        <f>F167+3</f>
        <v>3</v>
      </c>
      <c r="H167" s="87">
        <f t="shared" si="187"/>
        <v>3</v>
      </c>
      <c r="I167" s="87">
        <f t="shared" si="206"/>
        <v>3</v>
      </c>
      <c r="J167" s="87">
        <f>I167+8</f>
        <v>11</v>
      </c>
      <c r="K167" s="87">
        <f t="shared" si="175"/>
        <v>11</v>
      </c>
      <c r="L167" s="87">
        <f t="shared" si="178"/>
        <v>11</v>
      </c>
      <c r="M167" s="87">
        <f t="shared" si="189"/>
        <v>11</v>
      </c>
      <c r="N167" s="87">
        <f>M167+1</f>
        <v>12</v>
      </c>
      <c r="O167" s="87">
        <f t="shared" si="176"/>
        <v>12</v>
      </c>
      <c r="P167" s="87">
        <f t="shared" si="183"/>
        <v>12</v>
      </c>
      <c r="Q167" s="87">
        <f t="shared" si="190"/>
        <v>12</v>
      </c>
      <c r="R167" s="87">
        <f t="shared" si="198"/>
        <v>12</v>
      </c>
      <c r="S167" s="87">
        <f t="shared" si="179"/>
        <v>12</v>
      </c>
      <c r="T167" s="87">
        <f t="shared" si="191"/>
        <v>12</v>
      </c>
      <c r="U167" s="87">
        <f>T167+5</f>
        <v>17</v>
      </c>
      <c r="V167" s="87">
        <f t="shared" si="180"/>
        <v>17</v>
      </c>
      <c r="W167" s="87">
        <f t="shared" si="201"/>
        <v>17</v>
      </c>
      <c r="X167" s="87">
        <f>W167+1</f>
        <v>18</v>
      </c>
      <c r="Y167" s="87">
        <f t="shared" si="199"/>
        <v>18</v>
      </c>
      <c r="Z167" s="87">
        <f t="shared" si="192"/>
        <v>18</v>
      </c>
      <c r="AA167" s="87">
        <f t="shared" si="202"/>
        <v>18</v>
      </c>
      <c r="AB167" s="87">
        <f t="shared" si="168"/>
        <v>18</v>
      </c>
      <c r="AC167" s="87">
        <f t="shared" si="200"/>
        <v>18</v>
      </c>
      <c r="AD167" s="87">
        <f t="shared" si="204"/>
        <v>18</v>
      </c>
      <c r="AE167" s="87">
        <f t="shared" si="196"/>
        <v>18</v>
      </c>
      <c r="AF167" s="87">
        <f t="shared" si="207"/>
        <v>18</v>
      </c>
      <c r="AG167" s="87">
        <f>AF167+3</f>
        <v>21</v>
      </c>
      <c r="AH167" s="87">
        <f t="shared" ref="AH167:AH190" si="208">AG167+0</f>
        <v>21</v>
      </c>
      <c r="AI167" s="87">
        <f t="shared" si="203"/>
        <v>21</v>
      </c>
      <c r="AJ167" s="87">
        <f t="shared" si="193"/>
        <v>21</v>
      </c>
      <c r="AK167" s="87">
        <f t="shared" si="205"/>
        <v>21</v>
      </c>
      <c r="AL167" s="81">
        <v>150</v>
      </c>
      <c r="AM167" s="4">
        <v>1</v>
      </c>
      <c r="AN167" s="15" t="s">
        <v>149</v>
      </c>
      <c r="AO167" s="15" t="s">
        <v>175</v>
      </c>
      <c r="AP167" s="15">
        <v>2003</v>
      </c>
      <c r="AQ167" s="15" t="s">
        <v>207</v>
      </c>
      <c r="AR167" s="15" t="s">
        <v>193</v>
      </c>
    </row>
    <row r="168" spans="1:44" x14ac:dyDescent="0.3">
      <c r="A168" s="1">
        <v>14</v>
      </c>
      <c r="B168" s="87">
        <v>0</v>
      </c>
      <c r="C168" s="87">
        <f t="shared" si="182"/>
        <v>0</v>
      </c>
      <c r="D168" s="87">
        <f t="shared" si="184"/>
        <v>0</v>
      </c>
      <c r="E168" s="87">
        <f t="shared" si="181"/>
        <v>0</v>
      </c>
      <c r="F168" s="87">
        <f t="shared" si="186"/>
        <v>0</v>
      </c>
      <c r="G168" s="87">
        <f>F168+5</f>
        <v>5</v>
      </c>
      <c r="H168" s="87">
        <f t="shared" si="187"/>
        <v>5</v>
      </c>
      <c r="I168" s="87">
        <f t="shared" si="206"/>
        <v>5</v>
      </c>
      <c r="J168" s="87">
        <f>I168+3</f>
        <v>8</v>
      </c>
      <c r="K168" s="87">
        <f t="shared" si="175"/>
        <v>8</v>
      </c>
      <c r="L168" s="87">
        <f t="shared" si="178"/>
        <v>8</v>
      </c>
      <c r="M168" s="87">
        <f t="shared" si="189"/>
        <v>8</v>
      </c>
      <c r="N168" s="87">
        <f>M168+3</f>
        <v>11</v>
      </c>
      <c r="O168" s="87">
        <f t="shared" si="176"/>
        <v>11</v>
      </c>
      <c r="P168" s="87">
        <f t="shared" si="183"/>
        <v>11</v>
      </c>
      <c r="Q168" s="87">
        <f t="shared" si="190"/>
        <v>11</v>
      </c>
      <c r="R168" s="87">
        <f t="shared" si="198"/>
        <v>11</v>
      </c>
      <c r="S168" s="87">
        <f t="shared" si="179"/>
        <v>11</v>
      </c>
      <c r="T168" s="87">
        <f t="shared" si="191"/>
        <v>11</v>
      </c>
      <c r="U168" s="87">
        <f>T168+0</f>
        <v>11</v>
      </c>
      <c r="V168" s="87">
        <f t="shared" si="180"/>
        <v>11</v>
      </c>
      <c r="W168" s="87">
        <f t="shared" si="201"/>
        <v>11</v>
      </c>
      <c r="X168" s="87">
        <f>W168+0</f>
        <v>11</v>
      </c>
      <c r="Y168" s="87">
        <f t="shared" si="199"/>
        <v>11</v>
      </c>
      <c r="Z168" s="87">
        <f t="shared" si="192"/>
        <v>11</v>
      </c>
      <c r="AA168" s="87">
        <f t="shared" si="202"/>
        <v>11</v>
      </c>
      <c r="AB168" s="87">
        <f>AA168+2</f>
        <v>13</v>
      </c>
      <c r="AC168" s="87">
        <f t="shared" si="200"/>
        <v>13</v>
      </c>
      <c r="AD168" s="87">
        <f t="shared" si="204"/>
        <v>13</v>
      </c>
      <c r="AE168" s="87">
        <f t="shared" si="196"/>
        <v>13</v>
      </c>
      <c r="AF168" s="87">
        <f t="shared" si="207"/>
        <v>13</v>
      </c>
      <c r="AG168" s="87">
        <f>AF168+1</f>
        <v>14</v>
      </c>
      <c r="AH168" s="87">
        <f t="shared" si="208"/>
        <v>14</v>
      </c>
      <c r="AI168" s="87">
        <f t="shared" si="203"/>
        <v>14</v>
      </c>
      <c r="AJ168" s="87">
        <f t="shared" si="193"/>
        <v>14</v>
      </c>
      <c r="AK168" s="87">
        <f t="shared" si="205"/>
        <v>14</v>
      </c>
      <c r="AL168" s="81">
        <v>210</v>
      </c>
      <c r="AM168" s="4">
        <v>1</v>
      </c>
      <c r="AN168" s="15" t="s">
        <v>149</v>
      </c>
      <c r="AO168" s="15" t="s">
        <v>175</v>
      </c>
      <c r="AP168" s="15">
        <v>2003</v>
      </c>
      <c r="AQ168" s="15" t="s">
        <v>207</v>
      </c>
    </row>
    <row r="169" spans="1:44" x14ac:dyDescent="0.3">
      <c r="A169" s="1">
        <v>13</v>
      </c>
      <c r="B169" s="87">
        <v>0</v>
      </c>
      <c r="C169" s="87">
        <f t="shared" si="182"/>
        <v>0</v>
      </c>
      <c r="D169" s="87">
        <f t="shared" si="184"/>
        <v>0</v>
      </c>
      <c r="E169" s="87">
        <f t="shared" si="181"/>
        <v>0</v>
      </c>
      <c r="F169" s="87">
        <f t="shared" si="186"/>
        <v>0</v>
      </c>
      <c r="G169" s="87">
        <f>F169+8</f>
        <v>8</v>
      </c>
      <c r="H169" s="87">
        <f t="shared" si="187"/>
        <v>8</v>
      </c>
      <c r="I169" s="87">
        <f t="shared" si="206"/>
        <v>8</v>
      </c>
      <c r="J169" s="87">
        <f>I169+2</f>
        <v>10</v>
      </c>
      <c r="K169" s="87">
        <f t="shared" si="175"/>
        <v>10</v>
      </c>
      <c r="L169" s="87">
        <f t="shared" si="178"/>
        <v>10</v>
      </c>
      <c r="M169" s="87">
        <f t="shared" si="189"/>
        <v>10</v>
      </c>
      <c r="N169" s="87">
        <f t="shared" ref="N169:N190" si="209">M169+0</f>
        <v>10</v>
      </c>
      <c r="O169" s="87">
        <f t="shared" si="176"/>
        <v>10</v>
      </c>
      <c r="P169" s="87">
        <f t="shared" si="183"/>
        <v>10</v>
      </c>
      <c r="Q169" s="87">
        <f t="shared" si="190"/>
        <v>10</v>
      </c>
      <c r="R169" s="87">
        <f t="shared" si="198"/>
        <v>10</v>
      </c>
      <c r="S169" s="87">
        <f t="shared" si="179"/>
        <v>10</v>
      </c>
      <c r="T169" s="87">
        <f t="shared" si="191"/>
        <v>10</v>
      </c>
      <c r="U169" s="87">
        <f>T169+0</f>
        <v>10</v>
      </c>
      <c r="V169" s="87">
        <f t="shared" si="180"/>
        <v>10</v>
      </c>
      <c r="W169" s="87">
        <f t="shared" si="201"/>
        <v>10</v>
      </c>
      <c r="X169" s="87">
        <f>W169+0</f>
        <v>10</v>
      </c>
      <c r="Y169" s="87">
        <f t="shared" si="199"/>
        <v>10</v>
      </c>
      <c r="Z169" s="87">
        <f t="shared" si="192"/>
        <v>10</v>
      </c>
      <c r="AA169" s="87">
        <f t="shared" si="202"/>
        <v>10</v>
      </c>
      <c r="AB169" s="87">
        <f>AA169+0</f>
        <v>10</v>
      </c>
      <c r="AC169" s="87">
        <f t="shared" si="200"/>
        <v>10</v>
      </c>
      <c r="AD169" s="87">
        <f t="shared" si="204"/>
        <v>10</v>
      </c>
      <c r="AE169" s="87">
        <f>AD169+3</f>
        <v>13</v>
      </c>
      <c r="AF169" s="87">
        <f t="shared" si="207"/>
        <v>13</v>
      </c>
      <c r="AG169" s="87">
        <f>AF169+0</f>
        <v>13</v>
      </c>
      <c r="AH169" s="87">
        <f t="shared" si="208"/>
        <v>13</v>
      </c>
      <c r="AI169" s="87">
        <f t="shared" si="203"/>
        <v>13</v>
      </c>
      <c r="AJ169" s="87">
        <f t="shared" si="193"/>
        <v>13</v>
      </c>
      <c r="AK169" s="87">
        <f t="shared" si="205"/>
        <v>13</v>
      </c>
      <c r="AL169" s="81">
        <v>270</v>
      </c>
      <c r="AM169" s="4">
        <v>1</v>
      </c>
      <c r="AN169" s="15" t="s">
        <v>149</v>
      </c>
      <c r="AO169" s="15" t="s">
        <v>175</v>
      </c>
      <c r="AP169" s="15">
        <v>2003</v>
      </c>
      <c r="AQ169" s="15" t="s">
        <v>207</v>
      </c>
    </row>
    <row r="170" spans="1:44" s="85" customFormat="1" x14ac:dyDescent="0.3">
      <c r="A170" s="67">
        <v>22</v>
      </c>
      <c r="B170" s="87">
        <v>0</v>
      </c>
      <c r="C170" s="87">
        <f t="shared" si="182"/>
        <v>0</v>
      </c>
      <c r="D170" s="87">
        <f t="shared" si="184"/>
        <v>0</v>
      </c>
      <c r="E170" s="87">
        <f t="shared" si="181"/>
        <v>0</v>
      </c>
      <c r="F170" s="87">
        <f t="shared" si="186"/>
        <v>0</v>
      </c>
      <c r="G170" s="87">
        <f>F170+0</f>
        <v>0</v>
      </c>
      <c r="H170" s="87">
        <f t="shared" si="187"/>
        <v>0</v>
      </c>
      <c r="I170" s="87">
        <f t="shared" si="206"/>
        <v>0</v>
      </c>
      <c r="J170" s="87">
        <f>I170+6</f>
        <v>6</v>
      </c>
      <c r="K170" s="87">
        <f t="shared" si="175"/>
        <v>6</v>
      </c>
      <c r="L170" s="87">
        <f t="shared" si="178"/>
        <v>6</v>
      </c>
      <c r="M170" s="87">
        <f t="shared" si="189"/>
        <v>6</v>
      </c>
      <c r="N170" s="87">
        <f t="shared" si="209"/>
        <v>6</v>
      </c>
      <c r="O170" s="87">
        <f t="shared" si="176"/>
        <v>6</v>
      </c>
      <c r="P170" s="87">
        <f t="shared" si="183"/>
        <v>6</v>
      </c>
      <c r="Q170" s="87">
        <f t="shared" si="190"/>
        <v>6</v>
      </c>
      <c r="R170" s="87">
        <f t="shared" si="198"/>
        <v>6</v>
      </c>
      <c r="S170" s="87">
        <f t="shared" si="179"/>
        <v>6</v>
      </c>
      <c r="T170" s="87">
        <f t="shared" si="191"/>
        <v>6</v>
      </c>
      <c r="U170" s="87">
        <f>T170+2</f>
        <v>8</v>
      </c>
      <c r="V170" s="87">
        <f t="shared" si="180"/>
        <v>8</v>
      </c>
      <c r="W170" s="87">
        <f t="shared" si="201"/>
        <v>8</v>
      </c>
      <c r="X170" s="87">
        <f>W170+5</f>
        <v>13</v>
      </c>
      <c r="Y170" s="87">
        <f t="shared" si="199"/>
        <v>13</v>
      </c>
      <c r="Z170" s="87">
        <f t="shared" si="192"/>
        <v>13</v>
      </c>
      <c r="AA170" s="87">
        <f t="shared" si="202"/>
        <v>13</v>
      </c>
      <c r="AB170" s="87">
        <f>AA170+3</f>
        <v>16</v>
      </c>
      <c r="AC170" s="87">
        <f t="shared" si="200"/>
        <v>16</v>
      </c>
      <c r="AD170" s="87">
        <f t="shared" si="204"/>
        <v>16</v>
      </c>
      <c r="AE170" s="87">
        <f>AD170+1</f>
        <v>17</v>
      </c>
      <c r="AF170" s="87">
        <f t="shared" si="207"/>
        <v>17</v>
      </c>
      <c r="AG170" s="87">
        <f>AF170+5</f>
        <v>22</v>
      </c>
      <c r="AH170" s="87">
        <f t="shared" si="208"/>
        <v>22</v>
      </c>
      <c r="AI170" s="87">
        <f t="shared" si="203"/>
        <v>22</v>
      </c>
      <c r="AJ170" s="87">
        <f t="shared" si="193"/>
        <v>22</v>
      </c>
      <c r="AK170" s="87">
        <f t="shared" si="205"/>
        <v>22</v>
      </c>
      <c r="AL170" s="81">
        <v>150</v>
      </c>
      <c r="AM170" s="70">
        <v>2</v>
      </c>
      <c r="AN170" s="81" t="s">
        <v>149</v>
      </c>
      <c r="AO170" s="81" t="s">
        <v>175</v>
      </c>
      <c r="AP170" s="81">
        <v>2003</v>
      </c>
      <c r="AQ170" s="81" t="s">
        <v>207</v>
      </c>
      <c r="AR170" s="81"/>
    </row>
    <row r="171" spans="1:44" s="85" customFormat="1" x14ac:dyDescent="0.3">
      <c r="A171" s="67">
        <v>5</v>
      </c>
      <c r="B171" s="87">
        <v>0</v>
      </c>
      <c r="C171" s="87">
        <f t="shared" si="182"/>
        <v>0</v>
      </c>
      <c r="D171" s="87">
        <f t="shared" si="184"/>
        <v>0</v>
      </c>
      <c r="E171" s="87">
        <f t="shared" si="181"/>
        <v>0</v>
      </c>
      <c r="F171" s="87">
        <f t="shared" si="186"/>
        <v>0</v>
      </c>
      <c r="G171" s="87">
        <f>F171+1</f>
        <v>1</v>
      </c>
      <c r="H171" s="87">
        <f t="shared" si="187"/>
        <v>1</v>
      </c>
      <c r="I171" s="87">
        <f t="shared" si="206"/>
        <v>1</v>
      </c>
      <c r="J171" s="87">
        <f>I171+0</f>
        <v>1</v>
      </c>
      <c r="K171" s="87">
        <f t="shared" si="175"/>
        <v>1</v>
      </c>
      <c r="L171" s="87">
        <f t="shared" si="178"/>
        <v>1</v>
      </c>
      <c r="M171" s="87">
        <f t="shared" si="189"/>
        <v>1</v>
      </c>
      <c r="N171" s="87">
        <f t="shared" si="209"/>
        <v>1</v>
      </c>
      <c r="O171" s="87">
        <f t="shared" si="176"/>
        <v>1</v>
      </c>
      <c r="P171" s="87">
        <f t="shared" si="183"/>
        <v>1</v>
      </c>
      <c r="Q171" s="87">
        <f t="shared" si="190"/>
        <v>1</v>
      </c>
      <c r="R171" s="87">
        <f t="shared" si="198"/>
        <v>1</v>
      </c>
      <c r="S171" s="87">
        <f t="shared" si="179"/>
        <v>1</v>
      </c>
      <c r="T171" s="87">
        <f t="shared" si="191"/>
        <v>1</v>
      </c>
      <c r="U171" s="87">
        <f>T171+1</f>
        <v>2</v>
      </c>
      <c r="V171" s="87">
        <f t="shared" si="180"/>
        <v>2</v>
      </c>
      <c r="W171" s="87">
        <f t="shared" si="201"/>
        <v>2</v>
      </c>
      <c r="X171" s="87">
        <f t="shared" ref="X171:X190" si="210">W171+0</f>
        <v>2</v>
      </c>
      <c r="Y171" s="87">
        <f t="shared" si="199"/>
        <v>2</v>
      </c>
      <c r="Z171" s="87">
        <f t="shared" si="192"/>
        <v>2</v>
      </c>
      <c r="AA171" s="87">
        <f t="shared" si="202"/>
        <v>2</v>
      </c>
      <c r="AB171" s="87">
        <f>AA171+0</f>
        <v>2</v>
      </c>
      <c r="AC171" s="87">
        <f t="shared" si="200"/>
        <v>2</v>
      </c>
      <c r="AD171" s="87">
        <f t="shared" si="204"/>
        <v>2</v>
      </c>
      <c r="AE171" s="87">
        <f>AD171+0</f>
        <v>2</v>
      </c>
      <c r="AF171" s="87">
        <f t="shared" si="207"/>
        <v>2</v>
      </c>
      <c r="AG171" s="87">
        <f>AF171+3</f>
        <v>5</v>
      </c>
      <c r="AH171" s="87">
        <f t="shared" si="208"/>
        <v>5</v>
      </c>
      <c r="AI171" s="87">
        <f t="shared" si="203"/>
        <v>5</v>
      </c>
      <c r="AJ171" s="87">
        <f t="shared" si="193"/>
        <v>5</v>
      </c>
      <c r="AK171" s="87">
        <f t="shared" si="205"/>
        <v>5</v>
      </c>
      <c r="AL171" s="81">
        <v>210</v>
      </c>
      <c r="AM171" s="70">
        <v>2</v>
      </c>
      <c r="AN171" s="81" t="s">
        <v>149</v>
      </c>
      <c r="AO171" s="81" t="s">
        <v>175</v>
      </c>
      <c r="AP171" s="81">
        <v>2003</v>
      </c>
      <c r="AQ171" s="81" t="s">
        <v>207</v>
      </c>
      <c r="AR171" s="81"/>
    </row>
    <row r="172" spans="1:44" s="85" customFormat="1" x14ac:dyDescent="0.3">
      <c r="A172" s="67">
        <v>3</v>
      </c>
      <c r="B172" s="87">
        <v>0</v>
      </c>
      <c r="C172" s="87">
        <f t="shared" si="182"/>
        <v>0</v>
      </c>
      <c r="D172" s="87">
        <f t="shared" si="184"/>
        <v>0</v>
      </c>
      <c r="E172" s="87">
        <f t="shared" si="181"/>
        <v>0</v>
      </c>
      <c r="F172" s="87">
        <f t="shared" si="186"/>
        <v>0</v>
      </c>
      <c r="G172" s="87">
        <f>F172+0</f>
        <v>0</v>
      </c>
      <c r="H172" s="87">
        <f t="shared" si="187"/>
        <v>0</v>
      </c>
      <c r="I172" s="87">
        <f t="shared" si="206"/>
        <v>0</v>
      </c>
      <c r="J172" s="87">
        <f>I172+2</f>
        <v>2</v>
      </c>
      <c r="K172" s="87">
        <f t="shared" si="175"/>
        <v>2</v>
      </c>
      <c r="L172" s="87">
        <f t="shared" si="178"/>
        <v>2</v>
      </c>
      <c r="M172" s="87">
        <f t="shared" si="189"/>
        <v>2</v>
      </c>
      <c r="N172" s="87">
        <f t="shared" si="209"/>
        <v>2</v>
      </c>
      <c r="O172" s="87">
        <f t="shared" si="176"/>
        <v>2</v>
      </c>
      <c r="P172" s="87">
        <f t="shared" si="183"/>
        <v>2</v>
      </c>
      <c r="Q172" s="87">
        <f t="shared" si="190"/>
        <v>2</v>
      </c>
      <c r="R172" s="87">
        <f t="shared" si="198"/>
        <v>2</v>
      </c>
      <c r="S172" s="87">
        <f t="shared" si="179"/>
        <v>2</v>
      </c>
      <c r="T172" s="87">
        <f t="shared" si="191"/>
        <v>2</v>
      </c>
      <c r="U172" s="87">
        <f>T172+0</f>
        <v>2</v>
      </c>
      <c r="V172" s="87">
        <f t="shared" si="180"/>
        <v>2</v>
      </c>
      <c r="W172" s="87">
        <f t="shared" si="201"/>
        <v>2</v>
      </c>
      <c r="X172" s="87">
        <f t="shared" si="210"/>
        <v>2</v>
      </c>
      <c r="Y172" s="87">
        <f t="shared" si="199"/>
        <v>2</v>
      </c>
      <c r="Z172" s="87">
        <f t="shared" si="192"/>
        <v>2</v>
      </c>
      <c r="AA172" s="87">
        <f t="shared" si="202"/>
        <v>2</v>
      </c>
      <c r="AB172" s="87">
        <f>AA172+1</f>
        <v>3</v>
      </c>
      <c r="AC172" s="87">
        <f t="shared" si="200"/>
        <v>3</v>
      </c>
      <c r="AD172" s="87">
        <f t="shared" si="204"/>
        <v>3</v>
      </c>
      <c r="AE172" s="87">
        <f>AD172+0</f>
        <v>3</v>
      </c>
      <c r="AF172" s="87">
        <f t="shared" si="207"/>
        <v>3</v>
      </c>
      <c r="AG172" s="87">
        <f>AF172+0</f>
        <v>3</v>
      </c>
      <c r="AH172" s="87">
        <f t="shared" si="208"/>
        <v>3</v>
      </c>
      <c r="AI172" s="87">
        <f t="shared" si="203"/>
        <v>3</v>
      </c>
      <c r="AJ172" s="87">
        <f t="shared" si="193"/>
        <v>3</v>
      </c>
      <c r="AK172" s="87">
        <f t="shared" si="205"/>
        <v>3</v>
      </c>
      <c r="AL172" s="81">
        <v>270</v>
      </c>
      <c r="AM172" s="70">
        <v>2</v>
      </c>
      <c r="AN172" s="81" t="s">
        <v>149</v>
      </c>
      <c r="AO172" s="81" t="s">
        <v>175</v>
      </c>
      <c r="AP172" s="81">
        <v>2003</v>
      </c>
      <c r="AQ172" s="81" t="s">
        <v>207</v>
      </c>
      <c r="AR172" s="81"/>
    </row>
    <row r="173" spans="1:44" s="85" customFormat="1" x14ac:dyDescent="0.3">
      <c r="A173" s="67">
        <v>12</v>
      </c>
      <c r="B173" s="87">
        <v>0</v>
      </c>
      <c r="C173" s="87">
        <f t="shared" si="182"/>
        <v>0</v>
      </c>
      <c r="D173" s="87">
        <f t="shared" si="184"/>
        <v>0</v>
      </c>
      <c r="E173" s="87">
        <f t="shared" si="181"/>
        <v>0</v>
      </c>
      <c r="F173" s="87">
        <f t="shared" si="186"/>
        <v>0</v>
      </c>
      <c r="G173" s="87">
        <f>F173+3</f>
        <v>3</v>
      </c>
      <c r="H173" s="87">
        <f t="shared" si="187"/>
        <v>3</v>
      </c>
      <c r="I173" s="87">
        <f t="shared" si="206"/>
        <v>3</v>
      </c>
      <c r="J173" s="87">
        <f>I173+0</f>
        <v>3</v>
      </c>
      <c r="K173" s="87">
        <f t="shared" ref="K173:K190" si="211">J173+0</f>
        <v>3</v>
      </c>
      <c r="L173" s="87">
        <f t="shared" si="178"/>
        <v>3</v>
      </c>
      <c r="M173" s="87">
        <f t="shared" si="189"/>
        <v>3</v>
      </c>
      <c r="N173" s="87">
        <f t="shared" si="209"/>
        <v>3</v>
      </c>
      <c r="O173" s="87">
        <f t="shared" si="176"/>
        <v>3</v>
      </c>
      <c r="P173" s="87">
        <f t="shared" si="183"/>
        <v>3</v>
      </c>
      <c r="Q173" s="87">
        <f t="shared" si="190"/>
        <v>3</v>
      </c>
      <c r="R173" s="87">
        <f t="shared" si="198"/>
        <v>3</v>
      </c>
      <c r="S173" s="87">
        <f t="shared" si="179"/>
        <v>3</v>
      </c>
      <c r="T173" s="87">
        <f t="shared" si="191"/>
        <v>3</v>
      </c>
      <c r="U173" s="87">
        <f>T173+5</f>
        <v>8</v>
      </c>
      <c r="V173" s="87">
        <f t="shared" si="180"/>
        <v>8</v>
      </c>
      <c r="W173" s="87">
        <f t="shared" si="201"/>
        <v>8</v>
      </c>
      <c r="X173" s="87">
        <f t="shared" si="210"/>
        <v>8</v>
      </c>
      <c r="Y173" s="87">
        <f t="shared" si="199"/>
        <v>8</v>
      </c>
      <c r="Z173" s="87">
        <f t="shared" si="192"/>
        <v>8</v>
      </c>
      <c r="AA173" s="87">
        <f t="shared" si="202"/>
        <v>8</v>
      </c>
      <c r="AB173" s="87">
        <f>AA173+2</f>
        <v>10</v>
      </c>
      <c r="AC173" s="87">
        <f t="shared" si="200"/>
        <v>10</v>
      </c>
      <c r="AD173" s="87">
        <f t="shared" si="204"/>
        <v>10</v>
      </c>
      <c r="AE173" s="87">
        <f>AD173+0</f>
        <v>10</v>
      </c>
      <c r="AF173" s="87">
        <f t="shared" si="207"/>
        <v>10</v>
      </c>
      <c r="AG173" s="87">
        <f>AF173+2</f>
        <v>12</v>
      </c>
      <c r="AH173" s="87">
        <f t="shared" si="208"/>
        <v>12</v>
      </c>
      <c r="AI173" s="87">
        <f t="shared" si="203"/>
        <v>12</v>
      </c>
      <c r="AJ173" s="87">
        <f t="shared" si="193"/>
        <v>12</v>
      </c>
      <c r="AK173" s="87">
        <f t="shared" si="205"/>
        <v>12</v>
      </c>
      <c r="AL173" s="81">
        <v>150</v>
      </c>
      <c r="AM173" s="70">
        <v>3</v>
      </c>
      <c r="AN173" s="81" t="s">
        <v>149</v>
      </c>
      <c r="AO173" s="81" t="s">
        <v>175</v>
      </c>
      <c r="AP173" s="81">
        <v>2003</v>
      </c>
      <c r="AQ173" s="81" t="s">
        <v>207</v>
      </c>
      <c r="AR173" s="81"/>
    </row>
    <row r="174" spans="1:44" s="85" customFormat="1" x14ac:dyDescent="0.3">
      <c r="A174" s="67">
        <v>9</v>
      </c>
      <c r="B174" s="87">
        <v>0</v>
      </c>
      <c r="C174" s="87">
        <f t="shared" si="182"/>
        <v>0</v>
      </c>
      <c r="D174" s="87">
        <f t="shared" si="184"/>
        <v>0</v>
      </c>
      <c r="E174" s="87">
        <f t="shared" si="181"/>
        <v>0</v>
      </c>
      <c r="F174" s="87">
        <f t="shared" si="186"/>
        <v>0</v>
      </c>
      <c r="G174" s="87">
        <f>F174+1</f>
        <v>1</v>
      </c>
      <c r="H174" s="87">
        <f t="shared" si="187"/>
        <v>1</v>
      </c>
      <c r="I174" s="87">
        <f t="shared" si="206"/>
        <v>1</v>
      </c>
      <c r="J174" s="87">
        <f>I174+1</f>
        <v>2</v>
      </c>
      <c r="K174" s="87">
        <f t="shared" si="211"/>
        <v>2</v>
      </c>
      <c r="L174" s="87">
        <f t="shared" si="178"/>
        <v>2</v>
      </c>
      <c r="M174" s="87">
        <f t="shared" si="189"/>
        <v>2</v>
      </c>
      <c r="N174" s="87">
        <f t="shared" si="209"/>
        <v>2</v>
      </c>
      <c r="O174" s="87">
        <f t="shared" si="176"/>
        <v>2</v>
      </c>
      <c r="P174" s="87">
        <f t="shared" si="183"/>
        <v>2</v>
      </c>
      <c r="Q174" s="87">
        <f t="shared" si="190"/>
        <v>2</v>
      </c>
      <c r="R174" s="87">
        <f t="shared" si="198"/>
        <v>2</v>
      </c>
      <c r="S174" s="87">
        <f t="shared" si="179"/>
        <v>2</v>
      </c>
      <c r="T174" s="87">
        <f t="shared" si="191"/>
        <v>2</v>
      </c>
      <c r="U174" s="87">
        <f>T174+0</f>
        <v>2</v>
      </c>
      <c r="V174" s="87">
        <f t="shared" si="180"/>
        <v>2</v>
      </c>
      <c r="W174" s="87">
        <f t="shared" si="201"/>
        <v>2</v>
      </c>
      <c r="X174" s="87">
        <f t="shared" si="210"/>
        <v>2</v>
      </c>
      <c r="Y174" s="87">
        <f t="shared" si="199"/>
        <v>2</v>
      </c>
      <c r="Z174" s="87">
        <f t="shared" si="192"/>
        <v>2</v>
      </c>
      <c r="AA174" s="87">
        <f t="shared" si="202"/>
        <v>2</v>
      </c>
      <c r="AB174" s="87">
        <f>AA174+2</f>
        <v>4</v>
      </c>
      <c r="AC174" s="87">
        <f t="shared" si="200"/>
        <v>4</v>
      </c>
      <c r="AD174" s="87">
        <f t="shared" si="204"/>
        <v>4</v>
      </c>
      <c r="AE174" s="87">
        <f>AD174+4</f>
        <v>8</v>
      </c>
      <c r="AF174" s="87">
        <f t="shared" si="207"/>
        <v>8</v>
      </c>
      <c r="AG174" s="87">
        <f>AF174+1</f>
        <v>9</v>
      </c>
      <c r="AH174" s="87">
        <f t="shared" si="208"/>
        <v>9</v>
      </c>
      <c r="AI174" s="87">
        <f t="shared" si="203"/>
        <v>9</v>
      </c>
      <c r="AJ174" s="87">
        <f t="shared" si="193"/>
        <v>9</v>
      </c>
      <c r="AK174" s="87">
        <f t="shared" si="205"/>
        <v>9</v>
      </c>
      <c r="AL174" s="81">
        <v>210</v>
      </c>
      <c r="AM174" s="70">
        <v>3</v>
      </c>
      <c r="AN174" s="81" t="s">
        <v>149</v>
      </c>
      <c r="AO174" s="81" t="s">
        <v>175</v>
      </c>
      <c r="AP174" s="81">
        <v>2003</v>
      </c>
      <c r="AQ174" s="81" t="s">
        <v>207</v>
      </c>
      <c r="AR174" s="81"/>
    </row>
    <row r="175" spans="1:44" x14ac:dyDescent="0.3">
      <c r="A175" s="1">
        <v>10</v>
      </c>
      <c r="B175" s="87">
        <v>0</v>
      </c>
      <c r="C175" s="87">
        <f t="shared" si="182"/>
        <v>0</v>
      </c>
      <c r="D175" s="87">
        <f t="shared" si="184"/>
        <v>0</v>
      </c>
      <c r="E175" s="87">
        <f t="shared" si="181"/>
        <v>0</v>
      </c>
      <c r="F175" s="87">
        <f t="shared" si="186"/>
        <v>0</v>
      </c>
      <c r="G175" s="87">
        <f t="shared" ref="G175:G190" si="212">F175+0</f>
        <v>0</v>
      </c>
      <c r="H175" s="87">
        <f t="shared" si="187"/>
        <v>0</v>
      </c>
      <c r="I175" s="87">
        <f t="shared" si="206"/>
        <v>0</v>
      </c>
      <c r="J175" s="87">
        <f>I175+3</f>
        <v>3</v>
      </c>
      <c r="K175" s="87">
        <f t="shared" si="211"/>
        <v>3</v>
      </c>
      <c r="L175" s="87">
        <f t="shared" si="178"/>
        <v>3</v>
      </c>
      <c r="M175" s="87">
        <f t="shared" si="189"/>
        <v>3</v>
      </c>
      <c r="N175" s="87">
        <f t="shared" si="209"/>
        <v>3</v>
      </c>
      <c r="O175" s="87">
        <f t="shared" si="176"/>
        <v>3</v>
      </c>
      <c r="P175" s="87">
        <f t="shared" si="183"/>
        <v>3</v>
      </c>
      <c r="Q175" s="87">
        <f t="shared" si="190"/>
        <v>3</v>
      </c>
      <c r="R175" s="87">
        <f t="shared" si="198"/>
        <v>3</v>
      </c>
      <c r="S175" s="87">
        <f t="shared" si="179"/>
        <v>3</v>
      </c>
      <c r="T175" s="87">
        <f t="shared" si="191"/>
        <v>3</v>
      </c>
      <c r="U175" s="87">
        <f>T175+4</f>
        <v>7</v>
      </c>
      <c r="V175" s="87">
        <f t="shared" si="180"/>
        <v>7</v>
      </c>
      <c r="W175" s="87">
        <f t="shared" si="201"/>
        <v>7</v>
      </c>
      <c r="X175" s="87">
        <f t="shared" si="210"/>
        <v>7</v>
      </c>
      <c r="Y175" s="87">
        <f t="shared" si="199"/>
        <v>7</v>
      </c>
      <c r="Z175" s="87">
        <f t="shared" si="192"/>
        <v>7</v>
      </c>
      <c r="AA175" s="87">
        <f t="shared" si="202"/>
        <v>7</v>
      </c>
      <c r="AB175" s="87">
        <f t="shared" ref="AB175:AB190" si="213">AA175+0</f>
        <v>7</v>
      </c>
      <c r="AC175" s="87">
        <f t="shared" si="200"/>
        <v>7</v>
      </c>
      <c r="AD175" s="87">
        <f t="shared" si="204"/>
        <v>7</v>
      </c>
      <c r="AE175" s="87">
        <f t="shared" ref="AE175:AE190" si="214">AD175+0</f>
        <v>7</v>
      </c>
      <c r="AF175" s="87">
        <f t="shared" si="207"/>
        <v>7</v>
      </c>
      <c r="AG175" s="87">
        <f>AF175+3</f>
        <v>10</v>
      </c>
      <c r="AH175" s="87">
        <f t="shared" si="208"/>
        <v>10</v>
      </c>
      <c r="AI175" s="87">
        <f t="shared" si="203"/>
        <v>10</v>
      </c>
      <c r="AJ175" s="87">
        <f t="shared" si="193"/>
        <v>10</v>
      </c>
      <c r="AK175" s="87">
        <f t="shared" si="205"/>
        <v>10</v>
      </c>
      <c r="AL175" s="81">
        <v>270</v>
      </c>
      <c r="AM175" s="4">
        <v>3</v>
      </c>
      <c r="AN175" s="15" t="s">
        <v>149</v>
      </c>
      <c r="AO175" s="15" t="s">
        <v>175</v>
      </c>
      <c r="AP175" s="15">
        <v>2003</v>
      </c>
      <c r="AQ175" s="15" t="s">
        <v>207</v>
      </c>
    </row>
    <row r="176" spans="1:44" s="85" customFormat="1" x14ac:dyDescent="0.3">
      <c r="A176" s="67">
        <v>18</v>
      </c>
      <c r="B176" s="87">
        <v>0</v>
      </c>
      <c r="C176" s="87">
        <f t="shared" si="182"/>
        <v>0</v>
      </c>
      <c r="D176" s="87">
        <f t="shared" si="184"/>
        <v>0</v>
      </c>
      <c r="E176" s="87">
        <f t="shared" si="181"/>
        <v>0</v>
      </c>
      <c r="F176" s="87">
        <f>E176+11</f>
        <v>11</v>
      </c>
      <c r="G176" s="87">
        <f t="shared" si="212"/>
        <v>11</v>
      </c>
      <c r="H176" s="87">
        <f t="shared" si="187"/>
        <v>11</v>
      </c>
      <c r="I176" s="87">
        <f t="shared" si="206"/>
        <v>11</v>
      </c>
      <c r="J176" s="87">
        <f>I176+0</f>
        <v>11</v>
      </c>
      <c r="K176" s="87">
        <f t="shared" si="211"/>
        <v>11</v>
      </c>
      <c r="L176" s="87">
        <f t="shared" si="178"/>
        <v>11</v>
      </c>
      <c r="M176" s="87">
        <f>L176+2</f>
        <v>13</v>
      </c>
      <c r="N176" s="87">
        <f t="shared" si="209"/>
        <v>13</v>
      </c>
      <c r="O176" s="87">
        <f t="shared" si="176"/>
        <v>13</v>
      </c>
      <c r="P176" s="87">
        <f t="shared" si="183"/>
        <v>13</v>
      </c>
      <c r="Q176" s="87">
        <f t="shared" si="190"/>
        <v>13</v>
      </c>
      <c r="R176" s="87">
        <f t="shared" si="198"/>
        <v>13</v>
      </c>
      <c r="S176" s="87">
        <f>R176+5</f>
        <v>18</v>
      </c>
      <c r="T176" s="87">
        <f t="shared" si="191"/>
        <v>18</v>
      </c>
      <c r="U176" s="87">
        <f t="shared" ref="U176:U190" si="215">T176+0</f>
        <v>18</v>
      </c>
      <c r="V176" s="87">
        <f t="shared" si="180"/>
        <v>18</v>
      </c>
      <c r="W176" s="87">
        <f t="shared" si="201"/>
        <v>18</v>
      </c>
      <c r="X176" s="87">
        <f t="shared" si="210"/>
        <v>18</v>
      </c>
      <c r="Y176" s="87">
        <f t="shared" si="199"/>
        <v>18</v>
      </c>
      <c r="Z176" s="87">
        <f t="shared" si="192"/>
        <v>18</v>
      </c>
      <c r="AA176" s="87">
        <f t="shared" si="202"/>
        <v>18</v>
      </c>
      <c r="AB176" s="87">
        <f t="shared" si="213"/>
        <v>18</v>
      </c>
      <c r="AC176" s="87">
        <f t="shared" si="200"/>
        <v>18</v>
      </c>
      <c r="AD176" s="87">
        <f t="shared" si="204"/>
        <v>18</v>
      </c>
      <c r="AE176" s="87">
        <f t="shared" si="214"/>
        <v>18</v>
      </c>
      <c r="AF176" s="87">
        <f t="shared" si="207"/>
        <v>18</v>
      </c>
      <c r="AG176" s="87">
        <f t="shared" ref="AG176:AG190" si="216">AF176+0</f>
        <v>18</v>
      </c>
      <c r="AH176" s="87">
        <f t="shared" si="208"/>
        <v>18</v>
      </c>
      <c r="AI176" s="87">
        <f t="shared" si="203"/>
        <v>18</v>
      </c>
      <c r="AJ176" s="87">
        <f t="shared" si="193"/>
        <v>18</v>
      </c>
      <c r="AK176" s="87">
        <f t="shared" si="205"/>
        <v>18</v>
      </c>
      <c r="AL176" s="68">
        <v>480</v>
      </c>
      <c r="AM176" s="70">
        <v>1</v>
      </c>
      <c r="AN176" s="81" t="s">
        <v>342</v>
      </c>
      <c r="AO176" s="81" t="s">
        <v>103</v>
      </c>
      <c r="AP176" s="81">
        <v>2008</v>
      </c>
      <c r="AQ176" s="81" t="s">
        <v>104</v>
      </c>
      <c r="AR176" s="81"/>
    </row>
    <row r="177" spans="1:44" s="85" customFormat="1" x14ac:dyDescent="0.3">
      <c r="A177" s="67">
        <v>17</v>
      </c>
      <c r="B177" s="87">
        <v>0</v>
      </c>
      <c r="C177" s="87">
        <f t="shared" si="182"/>
        <v>0</v>
      </c>
      <c r="D177" s="87">
        <f t="shared" si="184"/>
        <v>0</v>
      </c>
      <c r="E177" s="87">
        <f t="shared" si="181"/>
        <v>0</v>
      </c>
      <c r="F177" s="87">
        <f>E177+4</f>
        <v>4</v>
      </c>
      <c r="G177" s="87">
        <f t="shared" si="212"/>
        <v>4</v>
      </c>
      <c r="H177" s="87">
        <f t="shared" si="187"/>
        <v>4</v>
      </c>
      <c r="I177" s="87">
        <f t="shared" si="206"/>
        <v>4</v>
      </c>
      <c r="J177" s="87">
        <f>I177+6</f>
        <v>10</v>
      </c>
      <c r="K177" s="87">
        <f t="shared" si="211"/>
        <v>10</v>
      </c>
      <c r="L177" s="87">
        <f t="shared" si="178"/>
        <v>10</v>
      </c>
      <c r="M177" s="87">
        <f>L177+6</f>
        <v>16</v>
      </c>
      <c r="N177" s="87">
        <f t="shared" si="209"/>
        <v>16</v>
      </c>
      <c r="O177" s="87">
        <f t="shared" si="176"/>
        <v>16</v>
      </c>
      <c r="P177" s="87">
        <f t="shared" si="183"/>
        <v>16</v>
      </c>
      <c r="Q177" s="87">
        <f t="shared" si="190"/>
        <v>16</v>
      </c>
      <c r="R177" s="87">
        <f t="shared" si="198"/>
        <v>16</v>
      </c>
      <c r="S177" s="87">
        <f>R177+1</f>
        <v>17</v>
      </c>
      <c r="T177" s="87">
        <f t="shared" si="191"/>
        <v>17</v>
      </c>
      <c r="U177" s="87">
        <f t="shared" si="215"/>
        <v>17</v>
      </c>
      <c r="V177" s="87">
        <f t="shared" si="180"/>
        <v>17</v>
      </c>
      <c r="W177" s="87">
        <f t="shared" si="201"/>
        <v>17</v>
      </c>
      <c r="X177" s="87">
        <f t="shared" si="210"/>
        <v>17</v>
      </c>
      <c r="Y177" s="87">
        <f t="shared" si="199"/>
        <v>17</v>
      </c>
      <c r="Z177" s="87">
        <f t="shared" si="192"/>
        <v>17</v>
      </c>
      <c r="AA177" s="87">
        <f t="shared" si="202"/>
        <v>17</v>
      </c>
      <c r="AB177" s="87">
        <f t="shared" si="213"/>
        <v>17</v>
      </c>
      <c r="AC177" s="87">
        <f t="shared" si="200"/>
        <v>17</v>
      </c>
      <c r="AD177" s="87">
        <f t="shared" si="204"/>
        <v>17</v>
      </c>
      <c r="AE177" s="87">
        <f t="shared" si="214"/>
        <v>17</v>
      </c>
      <c r="AF177" s="87">
        <f t="shared" si="207"/>
        <v>17</v>
      </c>
      <c r="AG177" s="87">
        <f t="shared" si="216"/>
        <v>17</v>
      </c>
      <c r="AH177" s="87">
        <f t="shared" si="208"/>
        <v>17</v>
      </c>
      <c r="AI177" s="87">
        <f t="shared" si="203"/>
        <v>17</v>
      </c>
      <c r="AJ177" s="87">
        <f t="shared" si="193"/>
        <v>17</v>
      </c>
      <c r="AK177" s="87">
        <f t="shared" si="205"/>
        <v>17</v>
      </c>
      <c r="AL177" s="68">
        <v>300</v>
      </c>
      <c r="AM177" s="70">
        <v>1</v>
      </c>
      <c r="AN177" s="81" t="s">
        <v>341</v>
      </c>
      <c r="AO177" s="81" t="s">
        <v>103</v>
      </c>
      <c r="AP177" s="81">
        <v>2008</v>
      </c>
      <c r="AQ177" s="81" t="s">
        <v>104</v>
      </c>
      <c r="AR177" s="81"/>
    </row>
    <row r="178" spans="1:44" x14ac:dyDescent="0.3">
      <c r="A178" s="1">
        <v>11</v>
      </c>
      <c r="B178" s="87">
        <v>0</v>
      </c>
      <c r="C178" s="87">
        <f t="shared" si="182"/>
        <v>0</v>
      </c>
      <c r="D178" s="87">
        <f t="shared" si="184"/>
        <v>0</v>
      </c>
      <c r="E178" s="87">
        <f t="shared" si="181"/>
        <v>0</v>
      </c>
      <c r="F178" s="87">
        <f>E178+9</f>
        <v>9</v>
      </c>
      <c r="G178" s="87">
        <f t="shared" si="212"/>
        <v>9</v>
      </c>
      <c r="H178" s="87">
        <f t="shared" si="187"/>
        <v>9</v>
      </c>
      <c r="I178" s="87">
        <f t="shared" si="206"/>
        <v>9</v>
      </c>
      <c r="J178" s="87">
        <f>I178+1</f>
        <v>10</v>
      </c>
      <c r="K178" s="87">
        <f t="shared" si="211"/>
        <v>10</v>
      </c>
      <c r="L178" s="87">
        <f t="shared" si="178"/>
        <v>10</v>
      </c>
      <c r="M178" s="87">
        <f>L178+1</f>
        <v>11</v>
      </c>
      <c r="N178" s="87">
        <f t="shared" si="209"/>
        <v>11</v>
      </c>
      <c r="O178" s="87">
        <f t="shared" si="176"/>
        <v>11</v>
      </c>
      <c r="P178" s="87">
        <f t="shared" si="183"/>
        <v>11</v>
      </c>
      <c r="Q178" s="87">
        <f t="shared" si="190"/>
        <v>11</v>
      </c>
      <c r="R178" s="87">
        <f t="shared" si="198"/>
        <v>11</v>
      </c>
      <c r="S178" s="87">
        <f>R178+0</f>
        <v>11</v>
      </c>
      <c r="T178" s="87">
        <f t="shared" si="191"/>
        <v>11</v>
      </c>
      <c r="U178" s="87">
        <f t="shared" si="215"/>
        <v>11</v>
      </c>
      <c r="V178" s="87">
        <f t="shared" si="180"/>
        <v>11</v>
      </c>
      <c r="W178" s="87">
        <f t="shared" si="201"/>
        <v>11</v>
      </c>
      <c r="X178" s="87">
        <f t="shared" si="210"/>
        <v>11</v>
      </c>
      <c r="Y178" s="87">
        <f t="shared" si="199"/>
        <v>11</v>
      </c>
      <c r="Z178" s="87">
        <f t="shared" si="192"/>
        <v>11</v>
      </c>
      <c r="AA178" s="87">
        <f t="shared" si="202"/>
        <v>11</v>
      </c>
      <c r="AB178" s="87">
        <f t="shared" si="213"/>
        <v>11</v>
      </c>
      <c r="AC178" s="87">
        <f t="shared" si="200"/>
        <v>11</v>
      </c>
      <c r="AD178" s="87">
        <f t="shared" si="204"/>
        <v>11</v>
      </c>
      <c r="AE178" s="87">
        <f t="shared" si="214"/>
        <v>11</v>
      </c>
      <c r="AF178" s="87">
        <f t="shared" si="207"/>
        <v>11</v>
      </c>
      <c r="AG178" s="87">
        <f t="shared" si="216"/>
        <v>11</v>
      </c>
      <c r="AH178" s="87">
        <f t="shared" si="208"/>
        <v>11</v>
      </c>
      <c r="AI178" s="87">
        <f t="shared" si="203"/>
        <v>11</v>
      </c>
      <c r="AJ178" s="87">
        <f t="shared" si="193"/>
        <v>11</v>
      </c>
      <c r="AK178" s="87">
        <f t="shared" si="205"/>
        <v>11</v>
      </c>
      <c r="AL178" s="68">
        <v>300</v>
      </c>
      <c r="AM178" s="4">
        <v>1</v>
      </c>
      <c r="AN178" s="15" t="s">
        <v>340</v>
      </c>
      <c r="AO178" s="15" t="s">
        <v>103</v>
      </c>
      <c r="AP178" s="15">
        <v>2008</v>
      </c>
      <c r="AQ178" s="15" t="s">
        <v>104</v>
      </c>
    </row>
    <row r="179" spans="1:44" x14ac:dyDescent="0.3">
      <c r="A179" s="1">
        <v>10</v>
      </c>
      <c r="B179" s="87">
        <v>0</v>
      </c>
      <c r="C179" s="87">
        <f t="shared" si="182"/>
        <v>0</v>
      </c>
      <c r="D179" s="87">
        <f t="shared" si="184"/>
        <v>0</v>
      </c>
      <c r="E179" s="87">
        <f t="shared" si="181"/>
        <v>0</v>
      </c>
      <c r="F179" s="87">
        <f>E179+7</f>
        <v>7</v>
      </c>
      <c r="G179" s="87">
        <f t="shared" si="212"/>
        <v>7</v>
      </c>
      <c r="H179" s="87">
        <f t="shared" si="187"/>
        <v>7</v>
      </c>
      <c r="I179" s="87">
        <f t="shared" si="206"/>
        <v>7</v>
      </c>
      <c r="J179" s="87">
        <f>I179+3</f>
        <v>10</v>
      </c>
      <c r="K179" s="87">
        <f t="shared" si="211"/>
        <v>10</v>
      </c>
      <c r="L179" s="87">
        <f t="shared" si="178"/>
        <v>10</v>
      </c>
      <c r="M179" s="87">
        <f>L179+0</f>
        <v>10</v>
      </c>
      <c r="N179" s="87">
        <f t="shared" si="209"/>
        <v>10</v>
      </c>
      <c r="O179" s="87">
        <f t="shared" si="176"/>
        <v>10</v>
      </c>
      <c r="P179" s="87">
        <f t="shared" si="183"/>
        <v>10</v>
      </c>
      <c r="Q179" s="87">
        <f t="shared" si="190"/>
        <v>10</v>
      </c>
      <c r="R179" s="87">
        <f t="shared" si="198"/>
        <v>10</v>
      </c>
      <c r="S179" s="87">
        <f>R179+0</f>
        <v>10</v>
      </c>
      <c r="T179" s="87">
        <f t="shared" si="191"/>
        <v>10</v>
      </c>
      <c r="U179" s="87">
        <f t="shared" si="215"/>
        <v>10</v>
      </c>
      <c r="V179" s="87">
        <f t="shared" si="180"/>
        <v>10</v>
      </c>
      <c r="W179" s="87">
        <f t="shared" si="201"/>
        <v>10</v>
      </c>
      <c r="X179" s="87">
        <f t="shared" si="210"/>
        <v>10</v>
      </c>
      <c r="Y179" s="87">
        <f t="shared" si="199"/>
        <v>10</v>
      </c>
      <c r="Z179" s="87">
        <f t="shared" si="192"/>
        <v>10</v>
      </c>
      <c r="AA179" s="87">
        <f t="shared" si="202"/>
        <v>10</v>
      </c>
      <c r="AB179" s="87">
        <f t="shared" si="213"/>
        <v>10</v>
      </c>
      <c r="AC179" s="87">
        <f t="shared" si="200"/>
        <v>10</v>
      </c>
      <c r="AD179" s="87">
        <f t="shared" si="204"/>
        <v>10</v>
      </c>
      <c r="AE179" s="87">
        <f t="shared" si="214"/>
        <v>10</v>
      </c>
      <c r="AF179" s="87">
        <f t="shared" si="207"/>
        <v>10</v>
      </c>
      <c r="AG179" s="87">
        <f t="shared" si="216"/>
        <v>10</v>
      </c>
      <c r="AH179" s="87">
        <f t="shared" si="208"/>
        <v>10</v>
      </c>
      <c r="AI179" s="87">
        <f t="shared" si="203"/>
        <v>10</v>
      </c>
      <c r="AJ179" s="87">
        <f t="shared" si="193"/>
        <v>10</v>
      </c>
      <c r="AK179" s="87">
        <f t="shared" si="205"/>
        <v>10</v>
      </c>
      <c r="AL179" s="68">
        <v>480</v>
      </c>
      <c r="AM179" s="4">
        <v>2</v>
      </c>
      <c r="AN179" s="81" t="s">
        <v>342</v>
      </c>
      <c r="AO179" s="15" t="s">
        <v>103</v>
      </c>
      <c r="AP179" s="15">
        <v>2008</v>
      </c>
      <c r="AQ179" s="15" t="s">
        <v>104</v>
      </c>
    </row>
    <row r="180" spans="1:44" x14ac:dyDescent="0.3">
      <c r="A180" s="1">
        <v>12</v>
      </c>
      <c r="B180" s="87">
        <v>0</v>
      </c>
      <c r="C180" s="87">
        <f t="shared" si="182"/>
        <v>0</v>
      </c>
      <c r="D180" s="87">
        <f t="shared" si="184"/>
        <v>0</v>
      </c>
      <c r="E180" s="87">
        <f t="shared" si="181"/>
        <v>0</v>
      </c>
      <c r="F180" s="87">
        <f>E180+10</f>
        <v>10</v>
      </c>
      <c r="G180" s="87">
        <f t="shared" si="212"/>
        <v>10</v>
      </c>
      <c r="H180" s="87">
        <f t="shared" si="187"/>
        <v>10</v>
      </c>
      <c r="I180" s="87">
        <f t="shared" si="206"/>
        <v>10</v>
      </c>
      <c r="J180" s="87">
        <f>I180+0</f>
        <v>10</v>
      </c>
      <c r="K180" s="87">
        <f t="shared" si="211"/>
        <v>10</v>
      </c>
      <c r="L180" s="87">
        <f t="shared" si="178"/>
        <v>10</v>
      </c>
      <c r="M180" s="87">
        <f>L180+2</f>
        <v>12</v>
      </c>
      <c r="N180" s="87">
        <f t="shared" si="209"/>
        <v>12</v>
      </c>
      <c r="O180" s="87">
        <f t="shared" si="176"/>
        <v>12</v>
      </c>
      <c r="P180" s="87">
        <f t="shared" si="183"/>
        <v>12</v>
      </c>
      <c r="Q180" s="87">
        <f t="shared" si="190"/>
        <v>12</v>
      </c>
      <c r="R180" s="87">
        <f t="shared" si="198"/>
        <v>12</v>
      </c>
      <c r="S180" s="87">
        <f>R180+0</f>
        <v>12</v>
      </c>
      <c r="T180" s="87">
        <f t="shared" si="191"/>
        <v>12</v>
      </c>
      <c r="U180" s="87">
        <f t="shared" si="215"/>
        <v>12</v>
      </c>
      <c r="V180" s="87">
        <f t="shared" si="180"/>
        <v>12</v>
      </c>
      <c r="W180" s="87">
        <f t="shared" si="201"/>
        <v>12</v>
      </c>
      <c r="X180" s="87">
        <f t="shared" si="210"/>
        <v>12</v>
      </c>
      <c r="Y180" s="87">
        <f t="shared" si="199"/>
        <v>12</v>
      </c>
      <c r="Z180" s="87">
        <f t="shared" si="192"/>
        <v>12</v>
      </c>
      <c r="AA180" s="87">
        <f t="shared" si="202"/>
        <v>12</v>
      </c>
      <c r="AB180" s="87">
        <f t="shared" si="213"/>
        <v>12</v>
      </c>
      <c r="AC180" s="87">
        <f t="shared" si="200"/>
        <v>12</v>
      </c>
      <c r="AD180" s="87">
        <f t="shared" si="204"/>
        <v>12</v>
      </c>
      <c r="AE180" s="87">
        <f t="shared" si="214"/>
        <v>12</v>
      </c>
      <c r="AF180" s="87">
        <f t="shared" si="207"/>
        <v>12</v>
      </c>
      <c r="AG180" s="87">
        <f t="shared" si="216"/>
        <v>12</v>
      </c>
      <c r="AH180" s="87">
        <f t="shared" si="208"/>
        <v>12</v>
      </c>
      <c r="AI180" s="87">
        <f t="shared" si="203"/>
        <v>12</v>
      </c>
      <c r="AJ180" s="87">
        <f t="shared" si="193"/>
        <v>12</v>
      </c>
      <c r="AK180" s="87">
        <f t="shared" si="205"/>
        <v>12</v>
      </c>
      <c r="AL180" s="68">
        <v>300</v>
      </c>
      <c r="AM180" s="4">
        <v>2</v>
      </c>
      <c r="AN180" s="81" t="s">
        <v>341</v>
      </c>
      <c r="AO180" s="15" t="s">
        <v>103</v>
      </c>
      <c r="AP180" s="15">
        <v>2008</v>
      </c>
      <c r="AQ180" s="15" t="s">
        <v>104</v>
      </c>
    </row>
    <row r="181" spans="1:44" x14ac:dyDescent="0.3">
      <c r="A181" s="1">
        <v>2</v>
      </c>
      <c r="B181" s="87">
        <v>0</v>
      </c>
      <c r="C181" s="87">
        <f t="shared" si="182"/>
        <v>0</v>
      </c>
      <c r="D181" s="87">
        <f t="shared" si="184"/>
        <v>0</v>
      </c>
      <c r="E181" s="87">
        <f t="shared" si="181"/>
        <v>0</v>
      </c>
      <c r="F181" s="87">
        <f>E181+1</f>
        <v>1</v>
      </c>
      <c r="G181" s="87">
        <f t="shared" si="212"/>
        <v>1</v>
      </c>
      <c r="H181" s="87">
        <f t="shared" si="187"/>
        <v>1</v>
      </c>
      <c r="I181" s="87">
        <f t="shared" si="206"/>
        <v>1</v>
      </c>
      <c r="J181" s="87">
        <f>I181+1</f>
        <v>2</v>
      </c>
      <c r="K181" s="87">
        <f t="shared" si="211"/>
        <v>2</v>
      </c>
      <c r="L181" s="87">
        <f t="shared" si="178"/>
        <v>2</v>
      </c>
      <c r="M181" s="87">
        <f>L181+0</f>
        <v>2</v>
      </c>
      <c r="N181" s="87">
        <f t="shared" si="209"/>
        <v>2</v>
      </c>
      <c r="O181" s="87">
        <f t="shared" si="176"/>
        <v>2</v>
      </c>
      <c r="P181" s="87">
        <f t="shared" si="183"/>
        <v>2</v>
      </c>
      <c r="Q181" s="87">
        <f t="shared" si="190"/>
        <v>2</v>
      </c>
      <c r="R181" s="87">
        <f t="shared" si="198"/>
        <v>2</v>
      </c>
      <c r="S181" s="87">
        <f>R181+0</f>
        <v>2</v>
      </c>
      <c r="T181" s="87">
        <f t="shared" si="191"/>
        <v>2</v>
      </c>
      <c r="U181" s="87">
        <f t="shared" si="215"/>
        <v>2</v>
      </c>
      <c r="V181" s="87">
        <f t="shared" si="180"/>
        <v>2</v>
      </c>
      <c r="W181" s="87">
        <f t="shared" si="201"/>
        <v>2</v>
      </c>
      <c r="X181" s="87">
        <f t="shared" si="210"/>
        <v>2</v>
      </c>
      <c r="Y181" s="87">
        <f t="shared" si="199"/>
        <v>2</v>
      </c>
      <c r="Z181" s="87">
        <f t="shared" si="192"/>
        <v>2</v>
      </c>
      <c r="AA181" s="87">
        <f t="shared" si="202"/>
        <v>2</v>
      </c>
      <c r="AB181" s="87">
        <f t="shared" si="213"/>
        <v>2</v>
      </c>
      <c r="AC181" s="87">
        <f t="shared" si="200"/>
        <v>2</v>
      </c>
      <c r="AD181" s="87">
        <f t="shared" si="204"/>
        <v>2</v>
      </c>
      <c r="AE181" s="87">
        <f t="shared" si="214"/>
        <v>2</v>
      </c>
      <c r="AF181" s="87">
        <f t="shared" si="207"/>
        <v>2</v>
      </c>
      <c r="AG181" s="87">
        <f t="shared" si="216"/>
        <v>2</v>
      </c>
      <c r="AH181" s="87">
        <f t="shared" si="208"/>
        <v>2</v>
      </c>
      <c r="AI181" s="87">
        <f t="shared" si="203"/>
        <v>2</v>
      </c>
      <c r="AJ181" s="87">
        <f t="shared" si="193"/>
        <v>2</v>
      </c>
      <c r="AK181" s="87">
        <f t="shared" si="205"/>
        <v>2</v>
      </c>
      <c r="AL181" s="68">
        <v>300</v>
      </c>
      <c r="AM181" s="4">
        <v>2</v>
      </c>
      <c r="AN181" s="81" t="s">
        <v>340</v>
      </c>
      <c r="AO181" s="15" t="s">
        <v>103</v>
      </c>
      <c r="AP181" s="15">
        <v>2008</v>
      </c>
      <c r="AQ181" s="15" t="s">
        <v>104</v>
      </c>
    </row>
    <row r="182" spans="1:44" x14ac:dyDescent="0.3">
      <c r="A182" s="1">
        <v>13</v>
      </c>
      <c r="B182" s="87">
        <v>0</v>
      </c>
      <c r="C182" s="87">
        <f t="shared" si="182"/>
        <v>0</v>
      </c>
      <c r="D182" s="87">
        <f t="shared" si="184"/>
        <v>0</v>
      </c>
      <c r="E182" s="87">
        <f t="shared" si="181"/>
        <v>0</v>
      </c>
      <c r="F182" s="87">
        <f>E182+2</f>
        <v>2</v>
      </c>
      <c r="G182" s="87">
        <f t="shared" si="212"/>
        <v>2</v>
      </c>
      <c r="H182" s="87">
        <f t="shared" si="187"/>
        <v>2</v>
      </c>
      <c r="I182" s="87">
        <f t="shared" si="206"/>
        <v>2</v>
      </c>
      <c r="J182" s="87">
        <f>I182+6</f>
        <v>8</v>
      </c>
      <c r="K182" s="87">
        <f t="shared" si="211"/>
        <v>8</v>
      </c>
      <c r="L182" s="87">
        <f t="shared" si="178"/>
        <v>8</v>
      </c>
      <c r="M182" s="87">
        <f>L182+3</f>
        <v>11</v>
      </c>
      <c r="N182" s="87">
        <f t="shared" si="209"/>
        <v>11</v>
      </c>
      <c r="O182" s="87">
        <f t="shared" si="176"/>
        <v>11</v>
      </c>
      <c r="P182" s="87">
        <f t="shared" si="183"/>
        <v>11</v>
      </c>
      <c r="Q182" s="87">
        <f t="shared" si="190"/>
        <v>11</v>
      </c>
      <c r="R182" s="87">
        <f t="shared" si="198"/>
        <v>11</v>
      </c>
      <c r="S182" s="87">
        <f>R182+2</f>
        <v>13</v>
      </c>
      <c r="T182" s="87">
        <f t="shared" si="191"/>
        <v>13</v>
      </c>
      <c r="U182" s="87">
        <f t="shared" si="215"/>
        <v>13</v>
      </c>
      <c r="V182" s="87">
        <f t="shared" si="180"/>
        <v>13</v>
      </c>
      <c r="W182" s="87">
        <f t="shared" si="201"/>
        <v>13</v>
      </c>
      <c r="X182" s="87">
        <f t="shared" si="210"/>
        <v>13</v>
      </c>
      <c r="Y182" s="87">
        <f t="shared" si="199"/>
        <v>13</v>
      </c>
      <c r="Z182" s="87">
        <f t="shared" si="192"/>
        <v>13</v>
      </c>
      <c r="AA182" s="87">
        <f t="shared" si="202"/>
        <v>13</v>
      </c>
      <c r="AB182" s="87">
        <f t="shared" si="213"/>
        <v>13</v>
      </c>
      <c r="AC182" s="87">
        <f t="shared" si="200"/>
        <v>13</v>
      </c>
      <c r="AD182" s="87">
        <f t="shared" si="204"/>
        <v>13</v>
      </c>
      <c r="AE182" s="87">
        <f t="shared" si="214"/>
        <v>13</v>
      </c>
      <c r="AF182" s="87">
        <f t="shared" si="207"/>
        <v>13</v>
      </c>
      <c r="AG182" s="87">
        <f t="shared" si="216"/>
        <v>13</v>
      </c>
      <c r="AH182" s="87">
        <f t="shared" si="208"/>
        <v>13</v>
      </c>
      <c r="AI182" s="87">
        <f t="shared" si="203"/>
        <v>13</v>
      </c>
      <c r="AJ182" s="87">
        <f t="shared" si="193"/>
        <v>13</v>
      </c>
      <c r="AK182" s="87">
        <f t="shared" si="205"/>
        <v>13</v>
      </c>
      <c r="AL182" s="68">
        <v>480</v>
      </c>
      <c r="AM182" s="4">
        <v>3</v>
      </c>
      <c r="AN182" s="81" t="s">
        <v>342</v>
      </c>
      <c r="AO182" s="15" t="s">
        <v>103</v>
      </c>
      <c r="AP182" s="15">
        <v>2008</v>
      </c>
      <c r="AQ182" s="15" t="s">
        <v>104</v>
      </c>
    </row>
    <row r="183" spans="1:44" x14ac:dyDescent="0.3">
      <c r="A183" s="1">
        <v>13</v>
      </c>
      <c r="B183" s="87">
        <v>0</v>
      </c>
      <c r="C183" s="87">
        <f t="shared" si="182"/>
        <v>0</v>
      </c>
      <c r="D183" s="87">
        <f t="shared" si="184"/>
        <v>0</v>
      </c>
      <c r="E183" s="87">
        <f t="shared" si="181"/>
        <v>0</v>
      </c>
      <c r="F183" s="87">
        <f>E183+0</f>
        <v>0</v>
      </c>
      <c r="G183" s="87">
        <f t="shared" si="212"/>
        <v>0</v>
      </c>
      <c r="H183" s="87">
        <f t="shared" si="187"/>
        <v>0</v>
      </c>
      <c r="I183" s="87">
        <f t="shared" si="206"/>
        <v>0</v>
      </c>
      <c r="J183" s="87">
        <f>I183+6</f>
        <v>6</v>
      </c>
      <c r="K183" s="87">
        <f t="shared" si="211"/>
        <v>6</v>
      </c>
      <c r="L183" s="87">
        <f t="shared" si="178"/>
        <v>6</v>
      </c>
      <c r="M183" s="87">
        <f>L183+6</f>
        <v>12</v>
      </c>
      <c r="N183" s="87">
        <f t="shared" si="209"/>
        <v>12</v>
      </c>
      <c r="O183" s="87">
        <f t="shared" si="176"/>
        <v>12</v>
      </c>
      <c r="P183" s="87">
        <f t="shared" si="183"/>
        <v>12</v>
      </c>
      <c r="Q183" s="87">
        <f t="shared" si="190"/>
        <v>12</v>
      </c>
      <c r="R183" s="87">
        <f t="shared" si="198"/>
        <v>12</v>
      </c>
      <c r="S183" s="87">
        <f>R183+1</f>
        <v>13</v>
      </c>
      <c r="T183" s="87">
        <f t="shared" si="191"/>
        <v>13</v>
      </c>
      <c r="U183" s="87">
        <f t="shared" si="215"/>
        <v>13</v>
      </c>
      <c r="V183" s="87">
        <f t="shared" si="180"/>
        <v>13</v>
      </c>
      <c r="W183" s="87">
        <f t="shared" si="201"/>
        <v>13</v>
      </c>
      <c r="X183" s="87">
        <f t="shared" si="210"/>
        <v>13</v>
      </c>
      <c r="Y183" s="87">
        <f t="shared" si="199"/>
        <v>13</v>
      </c>
      <c r="Z183" s="87">
        <f t="shared" si="192"/>
        <v>13</v>
      </c>
      <c r="AA183" s="87">
        <f t="shared" si="202"/>
        <v>13</v>
      </c>
      <c r="AB183" s="87">
        <f t="shared" si="213"/>
        <v>13</v>
      </c>
      <c r="AC183" s="87">
        <f t="shared" si="200"/>
        <v>13</v>
      </c>
      <c r="AD183" s="87">
        <f t="shared" si="204"/>
        <v>13</v>
      </c>
      <c r="AE183" s="87">
        <f t="shared" si="214"/>
        <v>13</v>
      </c>
      <c r="AF183" s="87">
        <f t="shared" si="207"/>
        <v>13</v>
      </c>
      <c r="AG183" s="87">
        <f t="shared" si="216"/>
        <v>13</v>
      </c>
      <c r="AH183" s="87">
        <f t="shared" si="208"/>
        <v>13</v>
      </c>
      <c r="AI183" s="87">
        <f t="shared" si="203"/>
        <v>13</v>
      </c>
      <c r="AJ183" s="87">
        <f t="shared" si="193"/>
        <v>13</v>
      </c>
      <c r="AK183" s="87">
        <f t="shared" si="205"/>
        <v>13</v>
      </c>
      <c r="AL183" s="68">
        <v>300</v>
      </c>
      <c r="AM183" s="4">
        <v>3</v>
      </c>
      <c r="AN183" s="81" t="s">
        <v>341</v>
      </c>
      <c r="AO183" s="15" t="s">
        <v>103</v>
      </c>
      <c r="AP183" s="15">
        <v>2008</v>
      </c>
      <c r="AQ183" s="15" t="s">
        <v>104</v>
      </c>
    </row>
    <row r="184" spans="1:44" x14ac:dyDescent="0.3">
      <c r="A184" s="1">
        <v>8</v>
      </c>
      <c r="B184" s="87">
        <v>0</v>
      </c>
      <c r="C184" s="87">
        <f t="shared" si="182"/>
        <v>0</v>
      </c>
      <c r="D184" s="87">
        <f t="shared" si="184"/>
        <v>0</v>
      </c>
      <c r="E184" s="87">
        <f t="shared" si="181"/>
        <v>0</v>
      </c>
      <c r="F184" s="87">
        <f>E184+2</f>
        <v>2</v>
      </c>
      <c r="G184" s="87">
        <f t="shared" si="212"/>
        <v>2</v>
      </c>
      <c r="H184" s="87">
        <f t="shared" si="187"/>
        <v>2</v>
      </c>
      <c r="I184" s="87">
        <f t="shared" si="206"/>
        <v>2</v>
      </c>
      <c r="J184" s="87">
        <f>I184+4</f>
        <v>6</v>
      </c>
      <c r="K184" s="87">
        <f t="shared" si="211"/>
        <v>6</v>
      </c>
      <c r="L184" s="87">
        <f t="shared" si="178"/>
        <v>6</v>
      </c>
      <c r="M184" s="87">
        <f>L184+2</f>
        <v>8</v>
      </c>
      <c r="N184" s="87">
        <f t="shared" si="209"/>
        <v>8</v>
      </c>
      <c r="O184" s="87">
        <f t="shared" si="176"/>
        <v>8</v>
      </c>
      <c r="P184" s="87">
        <f t="shared" si="183"/>
        <v>8</v>
      </c>
      <c r="Q184" s="87">
        <f t="shared" si="190"/>
        <v>8</v>
      </c>
      <c r="R184" s="87">
        <f t="shared" si="198"/>
        <v>8</v>
      </c>
      <c r="S184" s="87">
        <f>R184+0</f>
        <v>8</v>
      </c>
      <c r="T184" s="87">
        <f t="shared" si="191"/>
        <v>8</v>
      </c>
      <c r="U184" s="87">
        <f t="shared" si="215"/>
        <v>8</v>
      </c>
      <c r="V184" s="87">
        <f t="shared" si="180"/>
        <v>8</v>
      </c>
      <c r="W184" s="87">
        <f t="shared" si="201"/>
        <v>8</v>
      </c>
      <c r="X184" s="87">
        <f t="shared" si="210"/>
        <v>8</v>
      </c>
      <c r="Y184" s="87">
        <f t="shared" si="199"/>
        <v>8</v>
      </c>
      <c r="Z184" s="87">
        <f t="shared" si="192"/>
        <v>8</v>
      </c>
      <c r="AA184" s="87">
        <f t="shared" si="202"/>
        <v>8</v>
      </c>
      <c r="AB184" s="87">
        <f t="shared" si="213"/>
        <v>8</v>
      </c>
      <c r="AC184" s="87">
        <f t="shared" si="200"/>
        <v>8</v>
      </c>
      <c r="AD184" s="87">
        <f t="shared" si="204"/>
        <v>8</v>
      </c>
      <c r="AE184" s="87">
        <f t="shared" si="214"/>
        <v>8</v>
      </c>
      <c r="AF184" s="87">
        <f t="shared" si="207"/>
        <v>8</v>
      </c>
      <c r="AG184" s="87">
        <f t="shared" si="216"/>
        <v>8</v>
      </c>
      <c r="AH184" s="87">
        <f t="shared" si="208"/>
        <v>8</v>
      </c>
      <c r="AI184" s="87">
        <f t="shared" si="203"/>
        <v>8</v>
      </c>
      <c r="AJ184" s="87">
        <f t="shared" si="193"/>
        <v>8</v>
      </c>
      <c r="AK184" s="87">
        <f t="shared" si="205"/>
        <v>8</v>
      </c>
      <c r="AL184" s="68">
        <v>300</v>
      </c>
      <c r="AM184" s="4">
        <v>3</v>
      </c>
      <c r="AN184" s="81" t="s">
        <v>340</v>
      </c>
      <c r="AO184" s="15" t="s">
        <v>103</v>
      </c>
      <c r="AP184" s="15">
        <v>2008</v>
      </c>
      <c r="AQ184" s="15" t="s">
        <v>104</v>
      </c>
    </row>
    <row r="185" spans="1:44" x14ac:dyDescent="0.3">
      <c r="A185" s="1">
        <v>255</v>
      </c>
      <c r="B185" s="87">
        <v>0</v>
      </c>
      <c r="C185" s="87">
        <f t="shared" si="182"/>
        <v>0</v>
      </c>
      <c r="D185" s="87">
        <f t="shared" si="184"/>
        <v>0</v>
      </c>
      <c r="E185" s="87">
        <f t="shared" si="181"/>
        <v>0</v>
      </c>
      <c r="F185" s="87">
        <f>E185+16.6</f>
        <v>16.600000000000001</v>
      </c>
      <c r="G185" s="87">
        <f t="shared" si="212"/>
        <v>16.600000000000001</v>
      </c>
      <c r="H185" s="87">
        <f t="shared" si="187"/>
        <v>16.600000000000001</v>
      </c>
      <c r="I185" s="87">
        <f t="shared" si="206"/>
        <v>16.600000000000001</v>
      </c>
      <c r="J185" s="87">
        <f>I185+21.1</f>
        <v>37.700000000000003</v>
      </c>
      <c r="K185" s="87">
        <f t="shared" si="211"/>
        <v>37.700000000000003</v>
      </c>
      <c r="L185" s="87">
        <f t="shared" si="178"/>
        <v>37.700000000000003</v>
      </c>
      <c r="M185" s="87">
        <f>L185+8.5</f>
        <v>46.2</v>
      </c>
      <c r="N185" s="87">
        <f t="shared" si="209"/>
        <v>46.2</v>
      </c>
      <c r="O185" s="87">
        <f t="shared" si="176"/>
        <v>46.2</v>
      </c>
      <c r="P185" s="87">
        <f t="shared" si="183"/>
        <v>46.2</v>
      </c>
      <c r="Q185" s="87">
        <f t="shared" si="190"/>
        <v>46.2</v>
      </c>
      <c r="R185" s="87">
        <f t="shared" si="198"/>
        <v>46.2</v>
      </c>
      <c r="S185" s="87">
        <f>R185+0</f>
        <v>46.2</v>
      </c>
      <c r="T185" s="87">
        <f>S185+44.9</f>
        <v>91.1</v>
      </c>
      <c r="U185" s="87">
        <f t="shared" si="215"/>
        <v>91.1</v>
      </c>
      <c r="V185" s="87">
        <f t="shared" si="180"/>
        <v>91.1</v>
      </c>
      <c r="W185" s="87">
        <f t="shared" si="201"/>
        <v>91.1</v>
      </c>
      <c r="X185" s="87">
        <f t="shared" si="210"/>
        <v>91.1</v>
      </c>
      <c r="Y185" s="87">
        <f t="shared" si="199"/>
        <v>91.1</v>
      </c>
      <c r="Z185" s="87">
        <f t="shared" si="192"/>
        <v>91.1</v>
      </c>
      <c r="AA185" s="87">
        <f t="shared" si="202"/>
        <v>91.1</v>
      </c>
      <c r="AB185" s="87">
        <f t="shared" si="213"/>
        <v>91.1</v>
      </c>
      <c r="AC185" s="87">
        <f t="shared" si="200"/>
        <v>91.1</v>
      </c>
      <c r="AD185" s="87">
        <f t="shared" si="204"/>
        <v>91.1</v>
      </c>
      <c r="AE185" s="87">
        <f t="shared" si="214"/>
        <v>91.1</v>
      </c>
      <c r="AF185" s="87">
        <f t="shared" si="207"/>
        <v>91.1</v>
      </c>
      <c r="AG185" s="87">
        <f t="shared" si="216"/>
        <v>91.1</v>
      </c>
      <c r="AH185" s="87">
        <f t="shared" si="208"/>
        <v>91.1</v>
      </c>
      <c r="AI185" s="87">
        <f t="shared" si="203"/>
        <v>91.1</v>
      </c>
      <c r="AJ185" s="87">
        <f t="shared" si="193"/>
        <v>91.1</v>
      </c>
      <c r="AK185" s="87">
        <f t="shared" si="205"/>
        <v>91.1</v>
      </c>
      <c r="AL185" s="81">
        <v>730</v>
      </c>
      <c r="AM185" s="4">
        <v>1</v>
      </c>
      <c r="AN185" s="81" t="s">
        <v>478</v>
      </c>
      <c r="AO185" s="15" t="s">
        <v>477</v>
      </c>
      <c r="AP185" s="15">
        <v>1966</v>
      </c>
      <c r="AQ185" s="15" t="s">
        <v>151</v>
      </c>
    </row>
    <row r="186" spans="1:44" x14ac:dyDescent="0.3">
      <c r="A186" s="1">
        <v>263</v>
      </c>
      <c r="B186" s="87">
        <v>0</v>
      </c>
      <c r="C186" s="87">
        <f t="shared" si="182"/>
        <v>0</v>
      </c>
      <c r="D186" s="87">
        <f t="shared" si="184"/>
        <v>0</v>
      </c>
      <c r="E186" s="87">
        <f t="shared" si="181"/>
        <v>0</v>
      </c>
      <c r="F186" s="87">
        <f>E186+1.9</f>
        <v>1.9</v>
      </c>
      <c r="G186" s="87">
        <f t="shared" si="212"/>
        <v>1.9</v>
      </c>
      <c r="H186" s="87">
        <f t="shared" si="187"/>
        <v>1.9</v>
      </c>
      <c r="I186" s="87">
        <f t="shared" si="206"/>
        <v>1.9</v>
      </c>
      <c r="J186" s="87">
        <f>I186+0</f>
        <v>1.9</v>
      </c>
      <c r="K186" s="87">
        <f t="shared" si="211"/>
        <v>1.9</v>
      </c>
      <c r="L186" s="87">
        <f t="shared" si="178"/>
        <v>1.9</v>
      </c>
      <c r="M186" s="87">
        <f>L186+22</f>
        <v>23.9</v>
      </c>
      <c r="N186" s="87">
        <f t="shared" si="209"/>
        <v>23.9</v>
      </c>
      <c r="O186" s="87">
        <f t="shared" si="176"/>
        <v>23.9</v>
      </c>
      <c r="P186" s="87">
        <f t="shared" si="183"/>
        <v>23.9</v>
      </c>
      <c r="Q186" s="87">
        <f t="shared" si="190"/>
        <v>23.9</v>
      </c>
      <c r="R186" s="87">
        <f t="shared" si="198"/>
        <v>23.9</v>
      </c>
      <c r="S186" s="87">
        <f>R186+29</f>
        <v>52.9</v>
      </c>
      <c r="T186" s="87">
        <f>S186+0</f>
        <v>52.9</v>
      </c>
      <c r="U186" s="87">
        <f t="shared" si="215"/>
        <v>52.9</v>
      </c>
      <c r="V186" s="87">
        <f t="shared" si="180"/>
        <v>52.9</v>
      </c>
      <c r="W186" s="87">
        <f t="shared" si="201"/>
        <v>52.9</v>
      </c>
      <c r="X186" s="87">
        <f t="shared" si="210"/>
        <v>52.9</v>
      </c>
      <c r="Y186" s="87">
        <f t="shared" si="199"/>
        <v>52.9</v>
      </c>
      <c r="Z186" s="87">
        <f t="shared" si="192"/>
        <v>52.9</v>
      </c>
      <c r="AA186" s="87">
        <f t="shared" si="202"/>
        <v>52.9</v>
      </c>
      <c r="AB186" s="87">
        <f t="shared" si="213"/>
        <v>52.9</v>
      </c>
      <c r="AC186" s="87">
        <f t="shared" si="200"/>
        <v>52.9</v>
      </c>
      <c r="AD186" s="87">
        <f t="shared" si="204"/>
        <v>52.9</v>
      </c>
      <c r="AE186" s="87">
        <f t="shared" si="214"/>
        <v>52.9</v>
      </c>
      <c r="AF186" s="87">
        <f t="shared" si="207"/>
        <v>52.9</v>
      </c>
      <c r="AG186" s="87">
        <f t="shared" si="216"/>
        <v>52.9</v>
      </c>
      <c r="AH186" s="87">
        <f t="shared" si="208"/>
        <v>52.9</v>
      </c>
      <c r="AI186" s="87">
        <f t="shared" si="203"/>
        <v>52.9</v>
      </c>
      <c r="AJ186" s="87">
        <f t="shared" si="193"/>
        <v>52.9</v>
      </c>
      <c r="AK186" s="87">
        <f t="shared" si="205"/>
        <v>52.9</v>
      </c>
      <c r="AL186" s="81">
        <v>790</v>
      </c>
      <c r="AM186" s="4">
        <v>2</v>
      </c>
      <c r="AN186" s="81" t="s">
        <v>478</v>
      </c>
      <c r="AO186" s="15" t="s">
        <v>477</v>
      </c>
      <c r="AP186" s="15">
        <v>1966</v>
      </c>
      <c r="AQ186" s="15" t="s">
        <v>151</v>
      </c>
    </row>
    <row r="187" spans="1:44" x14ac:dyDescent="0.3">
      <c r="A187" s="1">
        <v>222</v>
      </c>
      <c r="B187" s="87">
        <v>0</v>
      </c>
      <c r="C187" s="87">
        <f t="shared" si="182"/>
        <v>0</v>
      </c>
      <c r="D187" s="87">
        <f t="shared" si="184"/>
        <v>0</v>
      </c>
      <c r="E187" s="87">
        <f t="shared" si="181"/>
        <v>0</v>
      </c>
      <c r="F187" s="87">
        <f>E187+12.7</f>
        <v>12.7</v>
      </c>
      <c r="G187" s="87">
        <f t="shared" si="212"/>
        <v>12.7</v>
      </c>
      <c r="H187" s="87">
        <f t="shared" si="187"/>
        <v>12.7</v>
      </c>
      <c r="I187" s="87">
        <f t="shared" si="206"/>
        <v>12.7</v>
      </c>
      <c r="J187" s="87">
        <f>I187+7.7</f>
        <v>20.399999999999999</v>
      </c>
      <c r="K187" s="87">
        <f t="shared" si="211"/>
        <v>20.399999999999999</v>
      </c>
      <c r="L187" s="87">
        <f t="shared" si="178"/>
        <v>20.399999999999999</v>
      </c>
      <c r="M187" s="87">
        <f>L187+33.3</f>
        <v>53.699999999999996</v>
      </c>
      <c r="N187" s="87">
        <f t="shared" si="209"/>
        <v>53.699999999999996</v>
      </c>
      <c r="O187" s="87">
        <f t="shared" si="176"/>
        <v>53.699999999999996</v>
      </c>
      <c r="P187" s="87">
        <f t="shared" si="183"/>
        <v>53.699999999999996</v>
      </c>
      <c r="Q187" s="87">
        <f t="shared" si="190"/>
        <v>53.699999999999996</v>
      </c>
      <c r="R187" s="87">
        <f t="shared" si="198"/>
        <v>53.699999999999996</v>
      </c>
      <c r="S187" s="87">
        <f>R187+0</f>
        <v>53.699999999999996</v>
      </c>
      <c r="T187" s="87">
        <f>S187+34.2</f>
        <v>87.9</v>
      </c>
      <c r="U187" s="87">
        <f t="shared" si="215"/>
        <v>87.9</v>
      </c>
      <c r="V187" s="87">
        <f t="shared" si="180"/>
        <v>87.9</v>
      </c>
      <c r="W187" s="87">
        <f t="shared" si="201"/>
        <v>87.9</v>
      </c>
      <c r="X187" s="87">
        <f t="shared" si="210"/>
        <v>87.9</v>
      </c>
      <c r="Y187" s="87">
        <f t="shared" si="199"/>
        <v>87.9</v>
      </c>
      <c r="Z187" s="87">
        <f t="shared" si="192"/>
        <v>87.9</v>
      </c>
      <c r="AA187" s="87">
        <f t="shared" si="202"/>
        <v>87.9</v>
      </c>
      <c r="AB187" s="87">
        <f t="shared" si="213"/>
        <v>87.9</v>
      </c>
      <c r="AC187" s="87">
        <f t="shared" si="200"/>
        <v>87.9</v>
      </c>
      <c r="AD187" s="87">
        <f t="shared" si="204"/>
        <v>87.9</v>
      </c>
      <c r="AE187" s="87">
        <f t="shared" si="214"/>
        <v>87.9</v>
      </c>
      <c r="AF187" s="87">
        <f t="shared" si="207"/>
        <v>87.9</v>
      </c>
      <c r="AG187" s="87">
        <f t="shared" si="216"/>
        <v>87.9</v>
      </c>
      <c r="AH187" s="87">
        <f t="shared" si="208"/>
        <v>87.9</v>
      </c>
      <c r="AI187" s="87">
        <f t="shared" si="203"/>
        <v>87.9</v>
      </c>
      <c r="AJ187" s="87">
        <f t="shared" si="193"/>
        <v>87.9</v>
      </c>
      <c r="AK187" s="87">
        <f t="shared" si="205"/>
        <v>87.9</v>
      </c>
      <c r="AL187" s="81">
        <v>760</v>
      </c>
      <c r="AM187" s="4">
        <v>3</v>
      </c>
      <c r="AN187" s="81" t="s">
        <v>478</v>
      </c>
      <c r="AO187" s="15" t="s">
        <v>477</v>
      </c>
      <c r="AP187" s="15">
        <v>1966</v>
      </c>
      <c r="AQ187" s="15" t="s">
        <v>151</v>
      </c>
    </row>
    <row r="188" spans="1:44" x14ac:dyDescent="0.3">
      <c r="B188" s="87">
        <v>0</v>
      </c>
      <c r="C188" s="87">
        <f t="shared" si="182"/>
        <v>0</v>
      </c>
      <c r="D188" s="87">
        <f t="shared" si="184"/>
        <v>0</v>
      </c>
      <c r="E188" s="87">
        <f t="shared" si="181"/>
        <v>0</v>
      </c>
      <c r="F188" s="87">
        <f>E188+0</f>
        <v>0</v>
      </c>
      <c r="G188" s="87">
        <f t="shared" si="212"/>
        <v>0</v>
      </c>
      <c r="H188" s="87">
        <f t="shared" si="187"/>
        <v>0</v>
      </c>
      <c r="I188" s="87">
        <f t="shared" si="206"/>
        <v>0</v>
      </c>
      <c r="J188" s="87">
        <f>I188+0</f>
        <v>0</v>
      </c>
      <c r="K188" s="87">
        <f t="shared" si="211"/>
        <v>0</v>
      </c>
      <c r="L188" s="87">
        <f t="shared" si="178"/>
        <v>0</v>
      </c>
      <c r="M188" s="87">
        <f>L188+0</f>
        <v>0</v>
      </c>
      <c r="N188" s="87">
        <f t="shared" si="209"/>
        <v>0</v>
      </c>
      <c r="O188" s="87">
        <f t="shared" si="176"/>
        <v>0</v>
      </c>
      <c r="P188" s="87">
        <f t="shared" si="183"/>
        <v>0</v>
      </c>
      <c r="Q188" s="87">
        <f t="shared" si="190"/>
        <v>0</v>
      </c>
      <c r="R188" s="87">
        <f t="shared" si="198"/>
        <v>0</v>
      </c>
      <c r="S188" s="87">
        <f>R188+0</f>
        <v>0</v>
      </c>
      <c r="T188" s="87">
        <f>S188+0</f>
        <v>0</v>
      </c>
      <c r="U188" s="87">
        <f t="shared" si="215"/>
        <v>0</v>
      </c>
      <c r="V188" s="87">
        <f t="shared" si="180"/>
        <v>0</v>
      </c>
      <c r="W188" s="87">
        <f t="shared" si="201"/>
        <v>0</v>
      </c>
      <c r="X188" s="87">
        <f t="shared" si="210"/>
        <v>0</v>
      </c>
      <c r="Y188" s="87">
        <f t="shared" si="199"/>
        <v>0</v>
      </c>
      <c r="Z188" s="87">
        <f t="shared" si="192"/>
        <v>0</v>
      </c>
      <c r="AA188" s="87">
        <f t="shared" si="202"/>
        <v>0</v>
      </c>
      <c r="AB188" s="87">
        <f t="shared" si="213"/>
        <v>0</v>
      </c>
      <c r="AC188" s="87">
        <f t="shared" si="200"/>
        <v>0</v>
      </c>
      <c r="AD188" s="87">
        <f t="shared" si="204"/>
        <v>0</v>
      </c>
      <c r="AE188" s="87">
        <f t="shared" si="214"/>
        <v>0</v>
      </c>
      <c r="AF188" s="87">
        <f t="shared" si="207"/>
        <v>0</v>
      </c>
      <c r="AG188" s="87">
        <f t="shared" si="216"/>
        <v>0</v>
      </c>
      <c r="AH188" s="87">
        <f t="shared" si="208"/>
        <v>0</v>
      </c>
      <c r="AI188" s="87">
        <f t="shared" si="203"/>
        <v>0</v>
      </c>
      <c r="AJ188" s="87">
        <f t="shared" si="193"/>
        <v>0</v>
      </c>
      <c r="AK188" s="87">
        <f t="shared" si="205"/>
        <v>0</v>
      </c>
    </row>
    <row r="189" spans="1:44" x14ac:dyDescent="0.3">
      <c r="B189" s="87">
        <v>0</v>
      </c>
      <c r="C189" s="87">
        <f t="shared" si="182"/>
        <v>0</v>
      </c>
      <c r="D189" s="87">
        <f t="shared" si="184"/>
        <v>0</v>
      </c>
      <c r="E189" s="87">
        <f t="shared" si="181"/>
        <v>0</v>
      </c>
      <c r="F189" s="87">
        <f>E189+0</f>
        <v>0</v>
      </c>
      <c r="G189" s="87">
        <f t="shared" si="212"/>
        <v>0</v>
      </c>
      <c r="H189" s="87">
        <f t="shared" si="187"/>
        <v>0</v>
      </c>
      <c r="I189" s="87">
        <f t="shared" si="206"/>
        <v>0</v>
      </c>
      <c r="J189" s="87">
        <f>I189+0</f>
        <v>0</v>
      </c>
      <c r="K189" s="87">
        <f t="shared" si="211"/>
        <v>0</v>
      </c>
      <c r="L189" s="87">
        <f t="shared" si="178"/>
        <v>0</v>
      </c>
      <c r="M189" s="87">
        <f>L189+0</f>
        <v>0</v>
      </c>
      <c r="N189" s="87">
        <f t="shared" si="209"/>
        <v>0</v>
      </c>
      <c r="O189" s="87">
        <f t="shared" si="176"/>
        <v>0</v>
      </c>
      <c r="P189" s="87">
        <f t="shared" si="183"/>
        <v>0</v>
      </c>
      <c r="Q189" s="87">
        <f t="shared" si="190"/>
        <v>0</v>
      </c>
      <c r="R189" s="87">
        <f t="shared" si="198"/>
        <v>0</v>
      </c>
      <c r="S189" s="87">
        <f>R189+0</f>
        <v>0</v>
      </c>
      <c r="T189" s="87">
        <f>S189+0</f>
        <v>0</v>
      </c>
      <c r="U189" s="87">
        <f t="shared" si="215"/>
        <v>0</v>
      </c>
      <c r="V189" s="87">
        <f t="shared" si="180"/>
        <v>0</v>
      </c>
      <c r="W189" s="87">
        <f t="shared" si="201"/>
        <v>0</v>
      </c>
      <c r="X189" s="87">
        <f t="shared" si="210"/>
        <v>0</v>
      </c>
      <c r="Y189" s="87">
        <f t="shared" si="199"/>
        <v>0</v>
      </c>
      <c r="Z189" s="87">
        <f t="shared" si="192"/>
        <v>0</v>
      </c>
      <c r="AA189" s="87">
        <f t="shared" si="202"/>
        <v>0</v>
      </c>
      <c r="AB189" s="87">
        <f t="shared" si="213"/>
        <v>0</v>
      </c>
      <c r="AC189" s="87">
        <f t="shared" si="200"/>
        <v>0</v>
      </c>
      <c r="AD189" s="87">
        <f t="shared" si="204"/>
        <v>0</v>
      </c>
      <c r="AE189" s="87">
        <f t="shared" si="214"/>
        <v>0</v>
      </c>
      <c r="AF189" s="87">
        <f t="shared" si="207"/>
        <v>0</v>
      </c>
      <c r="AG189" s="87">
        <f t="shared" si="216"/>
        <v>0</v>
      </c>
      <c r="AH189" s="87">
        <f t="shared" si="208"/>
        <v>0</v>
      </c>
      <c r="AI189" s="87">
        <f t="shared" si="203"/>
        <v>0</v>
      </c>
      <c r="AJ189" s="87">
        <f t="shared" si="193"/>
        <v>0</v>
      </c>
      <c r="AK189" s="87">
        <f t="shared" si="205"/>
        <v>0</v>
      </c>
    </row>
    <row r="190" spans="1:44" x14ac:dyDescent="0.3">
      <c r="B190" s="87">
        <v>0</v>
      </c>
      <c r="C190" s="87">
        <f t="shared" si="182"/>
        <v>0</v>
      </c>
      <c r="D190" s="87">
        <f t="shared" si="184"/>
        <v>0</v>
      </c>
      <c r="E190" s="87">
        <f t="shared" si="181"/>
        <v>0</v>
      </c>
      <c r="F190" s="87">
        <f>E190+0</f>
        <v>0</v>
      </c>
      <c r="G190" s="87">
        <f t="shared" si="212"/>
        <v>0</v>
      </c>
      <c r="H190" s="87">
        <f t="shared" si="187"/>
        <v>0</v>
      </c>
      <c r="I190" s="87">
        <f t="shared" si="206"/>
        <v>0</v>
      </c>
      <c r="J190" s="87">
        <f>I190+0</f>
        <v>0</v>
      </c>
      <c r="K190" s="87">
        <f t="shared" si="211"/>
        <v>0</v>
      </c>
      <c r="L190" s="87">
        <f t="shared" si="178"/>
        <v>0</v>
      </c>
      <c r="M190" s="87">
        <f>L190+0</f>
        <v>0</v>
      </c>
      <c r="N190" s="87">
        <f t="shared" si="209"/>
        <v>0</v>
      </c>
      <c r="O190" s="87">
        <f t="shared" si="176"/>
        <v>0</v>
      </c>
      <c r="P190" s="87">
        <f t="shared" si="183"/>
        <v>0</v>
      </c>
      <c r="Q190" s="87">
        <f t="shared" si="190"/>
        <v>0</v>
      </c>
      <c r="R190" s="87">
        <f t="shared" si="198"/>
        <v>0</v>
      </c>
      <c r="S190" s="87">
        <f>R190+0</f>
        <v>0</v>
      </c>
      <c r="T190" s="87">
        <f>S190+0</f>
        <v>0</v>
      </c>
      <c r="U190" s="87">
        <f t="shared" si="215"/>
        <v>0</v>
      </c>
      <c r="V190" s="87">
        <f t="shared" si="180"/>
        <v>0</v>
      </c>
      <c r="W190" s="87">
        <f t="shared" si="201"/>
        <v>0</v>
      </c>
      <c r="X190" s="87">
        <f t="shared" si="210"/>
        <v>0</v>
      </c>
      <c r="Y190" s="87">
        <f t="shared" si="199"/>
        <v>0</v>
      </c>
      <c r="Z190" s="87">
        <f t="shared" si="192"/>
        <v>0</v>
      </c>
      <c r="AA190" s="87">
        <f t="shared" si="202"/>
        <v>0</v>
      </c>
      <c r="AB190" s="87">
        <f t="shared" si="213"/>
        <v>0</v>
      </c>
      <c r="AC190" s="87">
        <f t="shared" si="200"/>
        <v>0</v>
      </c>
      <c r="AD190" s="87">
        <f t="shared" si="204"/>
        <v>0</v>
      </c>
      <c r="AE190" s="87">
        <f t="shared" si="214"/>
        <v>0</v>
      </c>
      <c r="AF190" s="87">
        <f t="shared" si="207"/>
        <v>0</v>
      </c>
      <c r="AG190" s="87">
        <f t="shared" si="216"/>
        <v>0</v>
      </c>
      <c r="AH190" s="87">
        <f t="shared" si="208"/>
        <v>0</v>
      </c>
      <c r="AI190" s="87">
        <f t="shared" si="203"/>
        <v>0</v>
      </c>
      <c r="AJ190" s="87">
        <f t="shared" si="193"/>
        <v>0</v>
      </c>
      <c r="AK190" s="87">
        <f t="shared" si="205"/>
        <v>0</v>
      </c>
    </row>
    <row r="260" spans="40:40" x14ac:dyDescent="0.3">
      <c r="AN260" s="18"/>
    </row>
    <row r="261" spans="40:40" x14ac:dyDescent="0.3">
      <c r="AN261" s="18"/>
    </row>
    <row r="262" spans="40:40" x14ac:dyDescent="0.3">
      <c r="AN262" s="18"/>
    </row>
    <row r="263" spans="40:40" x14ac:dyDescent="0.3">
      <c r="AN263" s="18"/>
    </row>
    <row r="264" spans="40:40" x14ac:dyDescent="0.3">
      <c r="AN264" s="18"/>
    </row>
    <row r="265" spans="40:40" x14ac:dyDescent="0.3">
      <c r="AN265" s="18"/>
    </row>
    <row r="475" spans="39:39" x14ac:dyDescent="0.3">
      <c r="AM475" s="20"/>
    </row>
    <row r="476" spans="39:39" x14ac:dyDescent="0.3">
      <c r="AM476" s="20"/>
    </row>
    <row r="477" spans="39:39" x14ac:dyDescent="0.3">
      <c r="AM477" s="20"/>
    </row>
    <row r="478" spans="39:39" x14ac:dyDescent="0.3">
      <c r="AM478" s="20"/>
    </row>
    <row r="479" spans="39:39" x14ac:dyDescent="0.3">
      <c r="AM479" s="20"/>
    </row>
    <row r="480" spans="39:39" x14ac:dyDescent="0.3">
      <c r="AM480" s="20"/>
    </row>
    <row r="481" spans="39:39" x14ac:dyDescent="0.3">
      <c r="AM481" s="20"/>
    </row>
    <row r="482" spans="39:39" x14ac:dyDescent="0.3">
      <c r="AM482" s="20"/>
    </row>
    <row r="483" spans="39:39" x14ac:dyDescent="0.3">
      <c r="AM483" s="20"/>
    </row>
    <row r="484" spans="39:39" x14ac:dyDescent="0.3">
      <c r="AM484" s="20"/>
    </row>
    <row r="485" spans="39:39" x14ac:dyDescent="0.3">
      <c r="AM485" s="20"/>
    </row>
    <row r="486" spans="39:39" x14ac:dyDescent="0.3">
      <c r="AM486" s="20"/>
    </row>
    <row r="487" spans="39:39" x14ac:dyDescent="0.3">
      <c r="AM487" s="20"/>
    </row>
    <row r="488" spans="39:39" x14ac:dyDescent="0.3">
      <c r="AM488" s="20"/>
    </row>
    <row r="489" spans="39:39" x14ac:dyDescent="0.3">
      <c r="AM489" s="20"/>
    </row>
    <row r="490" spans="39:39" x14ac:dyDescent="0.3">
      <c r="AM490" s="20"/>
    </row>
    <row r="491" spans="39:39" x14ac:dyDescent="0.3">
      <c r="AM491" s="20"/>
    </row>
    <row r="492" spans="39:39" x14ac:dyDescent="0.3">
      <c r="AM492" s="20"/>
    </row>
  </sheetData>
  <sortState ref="A2:AR492">
    <sortCondition ref="AO2:AO492"/>
    <sortCondition ref="AP2:AP492"/>
    <sortCondition ref="AM2:AM492"/>
    <sortCondition ref="AN2:AN492"/>
    <sortCondition ref="AL2:AL492"/>
  </sortState>
  <conditionalFormatting sqref="AM1:AM1048576">
    <cfRule type="cellIs" dxfId="71" priority="25" operator="equal">
      <formula>3</formula>
    </cfRule>
    <cfRule type="cellIs" dxfId="70" priority="26" operator="equal">
      <formula>2</formula>
    </cfRule>
    <cfRule type="cellIs" dxfId="69" priority="27" operator="equal">
      <formula>1</formula>
    </cfRule>
  </conditionalFormatting>
  <conditionalFormatting sqref="AN1:AN1048576">
    <cfRule type="expression" dxfId="68" priority="22">
      <formula>$AM1=3</formula>
    </cfRule>
    <cfRule type="expression" dxfId="67" priority="23">
      <formula>$AM1=2</formula>
    </cfRule>
    <cfRule type="expression" dxfId="66" priority="24">
      <formula>$AM1=1</formula>
    </cfRule>
  </conditionalFormatting>
  <conditionalFormatting sqref="AN125:AN126 AN128:AN130">
    <cfRule type="expression" dxfId="65" priority="19">
      <formula>$K125=3</formula>
    </cfRule>
    <cfRule type="expression" dxfId="64" priority="20">
      <formula>$K125=2</formula>
    </cfRule>
    <cfRule type="expression" dxfId="63" priority="21">
      <formula>$K125=1</formula>
    </cfRule>
  </conditionalFormatting>
  <conditionalFormatting sqref="AN127">
    <cfRule type="expression" dxfId="62" priority="16">
      <formula>$K127=3</formula>
    </cfRule>
    <cfRule type="expression" dxfId="61" priority="17">
      <formula>$K127=2</formula>
    </cfRule>
    <cfRule type="expression" dxfId="60" priority="18">
      <formula>$K127=1</formula>
    </cfRule>
  </conditionalFormatting>
  <conditionalFormatting sqref="AN137:AN140">
    <cfRule type="expression" dxfId="59" priority="4">
      <formula>$K137=3</formula>
    </cfRule>
    <cfRule type="expression" dxfId="58" priority="5">
      <formula>$K137=2</formula>
    </cfRule>
    <cfRule type="expression" dxfId="57" priority="6">
      <formula>$K137=1</formula>
    </cfRule>
  </conditionalFormatting>
  <conditionalFormatting sqref="AN141:AN146">
    <cfRule type="expression" dxfId="56" priority="1">
      <formula>$K141=3</formula>
    </cfRule>
    <cfRule type="expression" dxfId="55" priority="2">
      <formula>$K141=2</formula>
    </cfRule>
    <cfRule type="expression" dxfId="54" priority="3">
      <formula>$K141=1</formula>
    </cfRule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9"/>
  <sheetViews>
    <sheetView zoomScale="57" zoomScaleNormal="57" workbookViewId="0">
      <pane ySplit="1" topLeftCell="A2" activePane="bottomLeft" state="frozen"/>
      <selection pane="bottomLeft" activeCell="C1" sqref="C1"/>
    </sheetView>
  </sheetViews>
  <sheetFormatPr defaultRowHeight="20.25" x14ac:dyDescent="0.3"/>
  <cols>
    <col min="1" max="1" width="14.42578125" style="67" customWidth="1"/>
    <col min="2" max="2" width="13.85546875" style="87" customWidth="1"/>
    <col min="3" max="3" width="12.85546875" style="87" customWidth="1"/>
    <col min="4" max="4" width="16" style="81" customWidth="1"/>
    <col min="5" max="5" width="14.5703125" style="70" customWidth="1"/>
    <col min="6" max="6" width="51" style="81" customWidth="1"/>
    <col min="7" max="7" width="16.28515625" style="81" customWidth="1"/>
    <col min="8" max="8" width="9.140625" style="81"/>
    <col min="9" max="9" width="13" style="81" customWidth="1"/>
    <col min="10" max="10" width="26.85546875" style="81" customWidth="1"/>
    <col min="11" max="16384" width="9.140625" style="85"/>
  </cols>
  <sheetData>
    <row r="1" spans="1:10" s="65" customFormat="1" ht="65.25" customHeight="1" x14ac:dyDescent="0.25">
      <c r="A1" s="66" t="s">
        <v>3</v>
      </c>
      <c r="B1" s="62" t="s">
        <v>405</v>
      </c>
      <c r="C1" s="63" t="s">
        <v>407</v>
      </c>
      <c r="D1" s="64" t="s">
        <v>0</v>
      </c>
      <c r="E1" s="43" t="s">
        <v>273</v>
      </c>
      <c r="F1" s="55" t="s">
        <v>13</v>
      </c>
      <c r="G1" s="64" t="s">
        <v>10</v>
      </c>
      <c r="H1" s="64" t="s">
        <v>11</v>
      </c>
      <c r="I1" s="64" t="s">
        <v>14</v>
      </c>
      <c r="J1" s="64" t="s">
        <v>12</v>
      </c>
    </row>
    <row r="2" spans="1:10" x14ac:dyDescent="0.3">
      <c r="A2" s="67">
        <v>38</v>
      </c>
      <c r="B2" s="87">
        <v>4</v>
      </c>
      <c r="C2" s="87">
        <v>36</v>
      </c>
      <c r="D2" s="81">
        <v>2190</v>
      </c>
      <c r="E2" s="70">
        <v>1</v>
      </c>
      <c r="F2" s="81" t="s">
        <v>410</v>
      </c>
      <c r="G2" s="81" t="s">
        <v>408</v>
      </c>
      <c r="H2" s="81">
        <v>1958</v>
      </c>
      <c r="I2" s="81" t="s">
        <v>409</v>
      </c>
    </row>
    <row r="3" spans="1:10" x14ac:dyDescent="0.3">
      <c r="A3" s="67">
        <v>42</v>
      </c>
      <c r="B3" s="87">
        <v>11</v>
      </c>
      <c r="C3" s="87">
        <v>31</v>
      </c>
      <c r="D3" s="81">
        <v>2190</v>
      </c>
      <c r="E3" s="70">
        <v>1</v>
      </c>
      <c r="F3" s="81" t="s">
        <v>410</v>
      </c>
      <c r="G3" s="81" t="s">
        <v>408</v>
      </c>
      <c r="H3" s="81">
        <v>1958</v>
      </c>
      <c r="I3" s="81" t="s">
        <v>409</v>
      </c>
    </row>
    <row r="4" spans="1:10" x14ac:dyDescent="0.3">
      <c r="A4" s="67">
        <v>27</v>
      </c>
      <c r="B4" s="87">
        <v>21</v>
      </c>
      <c r="C4" s="87">
        <v>18</v>
      </c>
      <c r="D4" s="81">
        <v>2190</v>
      </c>
      <c r="E4" s="70">
        <v>1</v>
      </c>
      <c r="F4" s="81" t="s">
        <v>410</v>
      </c>
      <c r="G4" s="81" t="s">
        <v>408</v>
      </c>
      <c r="H4" s="81">
        <v>1958</v>
      </c>
      <c r="I4" s="81" t="s">
        <v>409</v>
      </c>
    </row>
    <row r="5" spans="1:10" x14ac:dyDescent="0.3">
      <c r="A5" s="67">
        <v>17</v>
      </c>
      <c r="B5" s="87">
        <v>34</v>
      </c>
      <c r="C5" s="87">
        <v>8</v>
      </c>
      <c r="D5" s="81">
        <v>2190</v>
      </c>
      <c r="E5" s="70">
        <v>1</v>
      </c>
      <c r="F5" s="81" t="s">
        <v>410</v>
      </c>
      <c r="G5" s="81" t="s">
        <v>408</v>
      </c>
      <c r="H5" s="81">
        <v>1958</v>
      </c>
      <c r="I5" s="81" t="s">
        <v>409</v>
      </c>
    </row>
    <row r="6" spans="1:10" x14ac:dyDescent="0.3">
      <c r="A6" s="67">
        <v>36</v>
      </c>
      <c r="B6" s="87">
        <v>11</v>
      </c>
      <c r="C6" s="87">
        <v>25</v>
      </c>
      <c r="D6" s="81">
        <v>2920</v>
      </c>
      <c r="E6" s="70">
        <v>1</v>
      </c>
      <c r="F6" s="81" t="s">
        <v>403</v>
      </c>
      <c r="G6" s="81" t="s">
        <v>218</v>
      </c>
      <c r="H6" s="81">
        <v>1946</v>
      </c>
      <c r="I6" s="81" t="s">
        <v>404</v>
      </c>
    </row>
    <row r="7" spans="1:10" x14ac:dyDescent="0.3">
      <c r="A7" s="67">
        <v>8</v>
      </c>
      <c r="B7" s="87">
        <v>24</v>
      </c>
      <c r="C7" s="87">
        <v>4</v>
      </c>
      <c r="D7" s="81">
        <v>2920</v>
      </c>
      <c r="E7" s="70">
        <v>1</v>
      </c>
      <c r="F7" s="81" t="s">
        <v>403</v>
      </c>
      <c r="G7" s="81" t="s">
        <v>218</v>
      </c>
      <c r="H7" s="81">
        <v>1946</v>
      </c>
      <c r="I7" s="81" t="s">
        <v>404</v>
      </c>
    </row>
    <row r="8" spans="1:10" x14ac:dyDescent="0.3">
      <c r="A8" s="67">
        <v>15</v>
      </c>
      <c r="B8" s="87">
        <v>39</v>
      </c>
      <c r="C8" s="87">
        <v>4</v>
      </c>
      <c r="D8" s="81">
        <v>2920</v>
      </c>
      <c r="E8" s="70">
        <v>1</v>
      </c>
      <c r="F8" s="81" t="s">
        <v>403</v>
      </c>
      <c r="G8" s="81" t="s">
        <v>218</v>
      </c>
      <c r="H8" s="81">
        <v>1946</v>
      </c>
      <c r="I8" s="81" t="s">
        <v>404</v>
      </c>
    </row>
    <row r="9" spans="1:10" x14ac:dyDescent="0.3">
      <c r="A9" s="67">
        <v>16</v>
      </c>
      <c r="B9" s="87">
        <v>54</v>
      </c>
      <c r="C9" s="87">
        <v>2</v>
      </c>
      <c r="D9" s="81">
        <v>2920</v>
      </c>
      <c r="E9" s="70">
        <v>1</v>
      </c>
      <c r="F9" s="81" t="s">
        <v>403</v>
      </c>
      <c r="G9" s="81" t="s">
        <v>218</v>
      </c>
      <c r="H9" s="81">
        <v>1946</v>
      </c>
      <c r="I9" s="81" t="s">
        <v>404</v>
      </c>
    </row>
    <row r="10" spans="1:10" x14ac:dyDescent="0.3">
      <c r="A10" s="67">
        <v>15</v>
      </c>
      <c r="B10" s="87">
        <v>67</v>
      </c>
      <c r="C10" s="87">
        <v>0</v>
      </c>
      <c r="D10" s="81">
        <v>2920</v>
      </c>
      <c r="E10" s="70">
        <v>1</v>
      </c>
      <c r="F10" s="81" t="s">
        <v>403</v>
      </c>
      <c r="G10" s="81" t="s">
        <v>218</v>
      </c>
      <c r="H10" s="81">
        <v>1946</v>
      </c>
      <c r="I10" s="81" t="s">
        <v>404</v>
      </c>
    </row>
    <row r="11" spans="1:10" x14ac:dyDescent="0.3">
      <c r="A11" s="67">
        <v>15</v>
      </c>
      <c r="B11" s="87">
        <v>81</v>
      </c>
      <c r="C11" s="87">
        <v>1</v>
      </c>
      <c r="D11" s="81">
        <v>2920</v>
      </c>
      <c r="E11" s="70">
        <v>1</v>
      </c>
      <c r="F11" s="81" t="s">
        <v>403</v>
      </c>
      <c r="G11" s="81" t="s">
        <v>218</v>
      </c>
      <c r="H11" s="81">
        <v>1946</v>
      </c>
      <c r="I11" s="81" t="s">
        <v>404</v>
      </c>
    </row>
    <row r="12" spans="1:10" x14ac:dyDescent="0.3">
      <c r="A12" s="67">
        <v>15</v>
      </c>
      <c r="B12" s="87">
        <v>95</v>
      </c>
      <c r="C12" s="87">
        <v>0</v>
      </c>
      <c r="D12" s="81">
        <v>2920</v>
      </c>
      <c r="E12" s="70">
        <v>1</v>
      </c>
      <c r="F12" s="81" t="s">
        <v>403</v>
      </c>
      <c r="G12" s="81" t="s">
        <v>218</v>
      </c>
      <c r="H12" s="81">
        <v>1946</v>
      </c>
      <c r="I12" s="81" t="s">
        <v>404</v>
      </c>
    </row>
    <row r="13" spans="1:10" x14ac:dyDescent="0.3">
      <c r="A13" s="67">
        <v>8</v>
      </c>
      <c r="B13" s="87">
        <v>147</v>
      </c>
      <c r="C13" s="87">
        <v>0</v>
      </c>
      <c r="D13" s="81">
        <v>2920</v>
      </c>
      <c r="E13" s="70">
        <v>1</v>
      </c>
      <c r="F13" s="81" t="s">
        <v>403</v>
      </c>
      <c r="G13" s="81" t="s">
        <v>218</v>
      </c>
      <c r="H13" s="81">
        <v>1946</v>
      </c>
      <c r="I13" s="81" t="s">
        <v>404</v>
      </c>
    </row>
    <row r="14" spans="1:10" x14ac:dyDescent="0.3">
      <c r="A14" s="67">
        <v>41</v>
      </c>
      <c r="B14" s="87">
        <v>7</v>
      </c>
      <c r="C14" s="87">
        <v>26</v>
      </c>
      <c r="D14" s="81">
        <f t="shared" ref="D14:D25" si="0">6*365</f>
        <v>2190</v>
      </c>
      <c r="E14" s="70">
        <v>1</v>
      </c>
      <c r="F14" s="81" t="s">
        <v>470</v>
      </c>
      <c r="G14" s="81" t="s">
        <v>469</v>
      </c>
      <c r="H14" s="81">
        <v>1956</v>
      </c>
      <c r="I14" s="81" t="s">
        <v>471</v>
      </c>
    </row>
    <row r="15" spans="1:10" x14ac:dyDescent="0.3">
      <c r="A15" s="67">
        <v>52</v>
      </c>
      <c r="B15" s="87">
        <v>14</v>
      </c>
      <c r="C15" s="87">
        <v>33</v>
      </c>
      <c r="D15" s="81">
        <f t="shared" si="0"/>
        <v>2190</v>
      </c>
      <c r="E15" s="70">
        <v>1</v>
      </c>
      <c r="F15" s="81" t="s">
        <v>470</v>
      </c>
      <c r="G15" s="81" t="s">
        <v>469</v>
      </c>
      <c r="H15" s="81">
        <v>1956</v>
      </c>
      <c r="I15" s="81" t="s">
        <v>471</v>
      </c>
    </row>
    <row r="16" spans="1:10" x14ac:dyDescent="0.3">
      <c r="A16" s="67">
        <v>13</v>
      </c>
      <c r="B16" s="87">
        <v>21</v>
      </c>
      <c r="C16" s="87">
        <v>9</v>
      </c>
      <c r="D16" s="81">
        <f t="shared" si="0"/>
        <v>2190</v>
      </c>
      <c r="E16" s="70">
        <v>1</v>
      </c>
      <c r="F16" s="81" t="s">
        <v>470</v>
      </c>
      <c r="G16" s="81" t="s">
        <v>469</v>
      </c>
      <c r="H16" s="81">
        <v>1956</v>
      </c>
      <c r="I16" s="81" t="s">
        <v>471</v>
      </c>
    </row>
    <row r="17" spans="1:9" x14ac:dyDescent="0.3">
      <c r="A17" s="67">
        <v>3</v>
      </c>
      <c r="B17" s="87">
        <v>28</v>
      </c>
      <c r="C17" s="87">
        <v>1</v>
      </c>
      <c r="D17" s="81">
        <f t="shared" si="0"/>
        <v>2190</v>
      </c>
      <c r="E17" s="70">
        <v>1</v>
      </c>
      <c r="F17" s="81" t="s">
        <v>470</v>
      </c>
      <c r="G17" s="81" t="s">
        <v>469</v>
      </c>
      <c r="H17" s="81">
        <v>1956</v>
      </c>
      <c r="I17" s="81" t="s">
        <v>471</v>
      </c>
    </row>
    <row r="18" spans="1:9" x14ac:dyDescent="0.3">
      <c r="A18" s="67">
        <v>3</v>
      </c>
      <c r="B18" s="87">
        <v>35</v>
      </c>
      <c r="C18" s="87">
        <v>1</v>
      </c>
      <c r="D18" s="81">
        <f t="shared" si="0"/>
        <v>2190</v>
      </c>
      <c r="E18" s="70">
        <v>1</v>
      </c>
      <c r="F18" s="81" t="s">
        <v>470</v>
      </c>
      <c r="G18" s="81" t="s">
        <v>469</v>
      </c>
      <c r="H18" s="81">
        <v>1956</v>
      </c>
      <c r="I18" s="81" t="s">
        <v>471</v>
      </c>
    </row>
    <row r="19" spans="1:9" x14ac:dyDescent="0.3">
      <c r="A19" s="67">
        <v>2</v>
      </c>
      <c r="B19" s="87">
        <v>42</v>
      </c>
      <c r="C19" s="87">
        <v>0</v>
      </c>
      <c r="D19" s="81">
        <f t="shared" si="0"/>
        <v>2190</v>
      </c>
      <c r="E19" s="70">
        <v>1</v>
      </c>
      <c r="F19" s="81" t="s">
        <v>470</v>
      </c>
      <c r="G19" s="81" t="s">
        <v>469</v>
      </c>
      <c r="H19" s="81">
        <v>1956</v>
      </c>
      <c r="I19" s="81" t="s">
        <v>471</v>
      </c>
    </row>
    <row r="20" spans="1:9" x14ac:dyDescent="0.3">
      <c r="A20" s="67">
        <v>9</v>
      </c>
      <c r="B20" s="87">
        <v>49</v>
      </c>
      <c r="C20" s="87">
        <v>2</v>
      </c>
      <c r="D20" s="81">
        <f t="shared" si="0"/>
        <v>2190</v>
      </c>
      <c r="E20" s="70">
        <v>1</v>
      </c>
      <c r="F20" s="81" t="s">
        <v>470</v>
      </c>
      <c r="G20" s="81" t="s">
        <v>469</v>
      </c>
      <c r="H20" s="81">
        <v>1956</v>
      </c>
      <c r="I20" s="81" t="s">
        <v>471</v>
      </c>
    </row>
    <row r="21" spans="1:9" x14ac:dyDescent="0.3">
      <c r="A21" s="67">
        <v>24</v>
      </c>
      <c r="B21" s="87">
        <v>1</v>
      </c>
      <c r="C21" s="87">
        <v>20</v>
      </c>
      <c r="D21" s="81">
        <f t="shared" si="0"/>
        <v>2190</v>
      </c>
      <c r="E21" s="70">
        <v>1</v>
      </c>
      <c r="F21" s="81" t="s">
        <v>458</v>
      </c>
      <c r="G21" s="81" t="s">
        <v>459</v>
      </c>
      <c r="H21" s="81">
        <v>1950</v>
      </c>
      <c r="I21" s="81" t="s">
        <v>460</v>
      </c>
    </row>
    <row r="22" spans="1:9" x14ac:dyDescent="0.3">
      <c r="A22" s="67">
        <v>26</v>
      </c>
      <c r="B22" s="87">
        <v>7</v>
      </c>
      <c r="C22" s="87">
        <v>14</v>
      </c>
      <c r="D22" s="81">
        <f t="shared" si="0"/>
        <v>2190</v>
      </c>
      <c r="E22" s="70">
        <v>1</v>
      </c>
      <c r="F22" s="81" t="s">
        <v>458</v>
      </c>
      <c r="G22" s="81" t="s">
        <v>459</v>
      </c>
      <c r="H22" s="81">
        <v>1950</v>
      </c>
      <c r="I22" s="81" t="s">
        <v>460</v>
      </c>
    </row>
    <row r="23" spans="1:9" x14ac:dyDescent="0.3">
      <c r="A23" s="67">
        <v>9</v>
      </c>
      <c r="B23" s="87">
        <v>14</v>
      </c>
      <c r="C23" s="87">
        <v>6</v>
      </c>
      <c r="D23" s="81">
        <f t="shared" si="0"/>
        <v>2190</v>
      </c>
      <c r="E23" s="70">
        <v>1</v>
      </c>
      <c r="F23" s="81" t="s">
        <v>458</v>
      </c>
      <c r="G23" s="81" t="s">
        <v>459</v>
      </c>
      <c r="H23" s="81">
        <v>1950</v>
      </c>
      <c r="I23" s="81" t="s">
        <v>460</v>
      </c>
    </row>
    <row r="24" spans="1:9" x14ac:dyDescent="0.3">
      <c r="A24" s="67">
        <v>9</v>
      </c>
      <c r="B24" s="87">
        <v>21</v>
      </c>
      <c r="C24" s="87">
        <v>5</v>
      </c>
      <c r="D24" s="81">
        <f t="shared" si="0"/>
        <v>2190</v>
      </c>
      <c r="E24" s="70">
        <v>1</v>
      </c>
      <c r="F24" s="81" t="s">
        <v>458</v>
      </c>
      <c r="G24" s="81" t="s">
        <v>459</v>
      </c>
      <c r="H24" s="81">
        <v>1950</v>
      </c>
      <c r="I24" s="81" t="s">
        <v>460</v>
      </c>
    </row>
    <row r="25" spans="1:9" x14ac:dyDescent="0.3">
      <c r="A25" s="67">
        <v>3</v>
      </c>
      <c r="B25" s="87">
        <v>28</v>
      </c>
      <c r="C25" s="87">
        <v>1</v>
      </c>
      <c r="D25" s="81">
        <f t="shared" si="0"/>
        <v>2190</v>
      </c>
      <c r="E25" s="70">
        <v>1</v>
      </c>
      <c r="F25" s="81" t="s">
        <v>458</v>
      </c>
      <c r="G25" s="81" t="s">
        <v>459</v>
      </c>
      <c r="H25" s="81">
        <v>1950</v>
      </c>
      <c r="I25" s="81" t="s">
        <v>460</v>
      </c>
    </row>
    <row r="26" spans="1:9" x14ac:dyDescent="0.3">
      <c r="A26" s="67">
        <v>74</v>
      </c>
      <c r="B26" s="87">
        <v>10</v>
      </c>
      <c r="C26" s="87">
        <v>36</v>
      </c>
      <c r="D26" s="81">
        <f t="shared" ref="D26:D37" si="1">7*365</f>
        <v>2555</v>
      </c>
      <c r="E26" s="70">
        <v>1</v>
      </c>
      <c r="F26" s="81" t="s">
        <v>468</v>
      </c>
      <c r="G26" s="81" t="s">
        <v>463</v>
      </c>
      <c r="H26" s="81">
        <v>1956</v>
      </c>
      <c r="I26" s="81" t="s">
        <v>464</v>
      </c>
    </row>
    <row r="27" spans="1:9" x14ac:dyDescent="0.3">
      <c r="A27" s="67">
        <v>31</v>
      </c>
      <c r="B27" s="87">
        <v>20</v>
      </c>
      <c r="C27" s="87">
        <v>12</v>
      </c>
      <c r="D27" s="81">
        <f t="shared" si="1"/>
        <v>2555</v>
      </c>
      <c r="E27" s="70">
        <v>1</v>
      </c>
      <c r="F27" s="81" t="s">
        <v>468</v>
      </c>
      <c r="G27" s="81" t="s">
        <v>463</v>
      </c>
      <c r="H27" s="81">
        <v>1956</v>
      </c>
      <c r="I27" s="81" t="s">
        <v>464</v>
      </c>
    </row>
    <row r="28" spans="1:9" x14ac:dyDescent="0.3">
      <c r="A28" s="67">
        <v>10</v>
      </c>
      <c r="B28" s="87">
        <v>28</v>
      </c>
      <c r="C28" s="87">
        <v>1</v>
      </c>
      <c r="D28" s="81">
        <f t="shared" si="1"/>
        <v>2555</v>
      </c>
      <c r="E28" s="70">
        <v>1</v>
      </c>
      <c r="F28" s="81" t="s">
        <v>468</v>
      </c>
      <c r="G28" s="81" t="s">
        <v>463</v>
      </c>
      <c r="H28" s="81">
        <v>1956</v>
      </c>
      <c r="I28" s="81" t="s">
        <v>464</v>
      </c>
    </row>
    <row r="29" spans="1:9" x14ac:dyDescent="0.3">
      <c r="A29" s="67">
        <v>66</v>
      </c>
      <c r="B29" s="87">
        <v>10</v>
      </c>
      <c r="C29" s="87">
        <v>54</v>
      </c>
      <c r="D29" s="81">
        <f t="shared" si="1"/>
        <v>2555</v>
      </c>
      <c r="E29" s="70">
        <v>1</v>
      </c>
      <c r="F29" s="81" t="s">
        <v>467</v>
      </c>
      <c r="G29" s="81" t="s">
        <v>463</v>
      </c>
      <c r="H29" s="81">
        <v>1956</v>
      </c>
      <c r="I29" s="81" t="s">
        <v>464</v>
      </c>
    </row>
    <row r="30" spans="1:9" x14ac:dyDescent="0.3">
      <c r="A30" s="67">
        <v>22</v>
      </c>
      <c r="B30" s="87">
        <v>20</v>
      </c>
      <c r="C30" s="87">
        <v>14</v>
      </c>
      <c r="D30" s="81">
        <f t="shared" si="1"/>
        <v>2555</v>
      </c>
      <c r="E30" s="70">
        <v>1</v>
      </c>
      <c r="F30" s="81" t="s">
        <v>467</v>
      </c>
      <c r="G30" s="81" t="s">
        <v>463</v>
      </c>
      <c r="H30" s="81">
        <v>1956</v>
      </c>
      <c r="I30" s="81" t="s">
        <v>464</v>
      </c>
    </row>
    <row r="31" spans="1:9" x14ac:dyDescent="0.3">
      <c r="A31" s="67">
        <v>7</v>
      </c>
      <c r="B31" s="87">
        <v>28</v>
      </c>
      <c r="C31" s="87">
        <v>4</v>
      </c>
      <c r="D31" s="81">
        <f t="shared" si="1"/>
        <v>2555</v>
      </c>
      <c r="E31" s="70">
        <v>1</v>
      </c>
      <c r="F31" s="81" t="s">
        <v>467</v>
      </c>
      <c r="G31" s="81" t="s">
        <v>463</v>
      </c>
      <c r="H31" s="81">
        <v>1956</v>
      </c>
      <c r="I31" s="81" t="s">
        <v>464</v>
      </c>
    </row>
    <row r="32" spans="1:9" x14ac:dyDescent="0.3">
      <c r="A32" s="67">
        <v>151</v>
      </c>
      <c r="B32" s="87">
        <v>10</v>
      </c>
      <c r="C32" s="87">
        <v>102</v>
      </c>
      <c r="D32" s="81">
        <f t="shared" si="1"/>
        <v>2555</v>
      </c>
      <c r="E32" s="70">
        <v>1</v>
      </c>
      <c r="F32" s="81" t="s">
        <v>466</v>
      </c>
      <c r="G32" s="81" t="s">
        <v>463</v>
      </c>
      <c r="H32" s="81">
        <v>1956</v>
      </c>
      <c r="I32" s="81" t="s">
        <v>464</v>
      </c>
    </row>
    <row r="33" spans="1:9" x14ac:dyDescent="0.3">
      <c r="A33" s="67">
        <v>53</v>
      </c>
      <c r="B33" s="87">
        <v>20</v>
      </c>
      <c r="C33" s="87">
        <v>31</v>
      </c>
      <c r="D33" s="81">
        <f t="shared" si="1"/>
        <v>2555</v>
      </c>
      <c r="E33" s="70">
        <v>1</v>
      </c>
      <c r="F33" s="81" t="s">
        <v>466</v>
      </c>
      <c r="G33" s="81" t="s">
        <v>463</v>
      </c>
      <c r="H33" s="81">
        <v>1956</v>
      </c>
      <c r="I33" s="81" t="s">
        <v>464</v>
      </c>
    </row>
    <row r="34" spans="1:9" x14ac:dyDescent="0.3">
      <c r="A34" s="67">
        <v>30</v>
      </c>
      <c r="B34" s="87">
        <v>28</v>
      </c>
      <c r="C34" s="87">
        <v>7</v>
      </c>
      <c r="D34" s="81">
        <f t="shared" si="1"/>
        <v>2555</v>
      </c>
      <c r="E34" s="70">
        <v>1</v>
      </c>
      <c r="F34" s="81" t="s">
        <v>466</v>
      </c>
      <c r="G34" s="81" t="s">
        <v>463</v>
      </c>
      <c r="H34" s="81">
        <v>1956</v>
      </c>
      <c r="I34" s="81" t="s">
        <v>464</v>
      </c>
    </row>
    <row r="35" spans="1:9" x14ac:dyDescent="0.3">
      <c r="A35" s="67">
        <v>78</v>
      </c>
      <c r="B35" s="87">
        <v>10</v>
      </c>
      <c r="C35" s="87">
        <v>71</v>
      </c>
      <c r="D35" s="81">
        <f t="shared" si="1"/>
        <v>2555</v>
      </c>
      <c r="E35" s="70">
        <v>1</v>
      </c>
      <c r="F35" s="81" t="s">
        <v>465</v>
      </c>
      <c r="G35" s="81" t="s">
        <v>463</v>
      </c>
      <c r="H35" s="81">
        <v>1956</v>
      </c>
      <c r="I35" s="81" t="s">
        <v>464</v>
      </c>
    </row>
    <row r="36" spans="1:9" x14ac:dyDescent="0.3">
      <c r="A36" s="67">
        <v>32</v>
      </c>
      <c r="B36" s="87">
        <v>20</v>
      </c>
      <c r="C36" s="87">
        <v>25</v>
      </c>
      <c r="D36" s="81">
        <f t="shared" si="1"/>
        <v>2555</v>
      </c>
      <c r="E36" s="70">
        <v>1</v>
      </c>
      <c r="F36" s="81" t="s">
        <v>465</v>
      </c>
      <c r="G36" s="81" t="s">
        <v>463</v>
      </c>
      <c r="H36" s="81">
        <v>1956</v>
      </c>
      <c r="I36" s="81" t="s">
        <v>464</v>
      </c>
    </row>
    <row r="37" spans="1:9" x14ac:dyDescent="0.3">
      <c r="A37" s="67">
        <v>10</v>
      </c>
      <c r="B37" s="87">
        <v>28</v>
      </c>
      <c r="C37" s="87">
        <v>5</v>
      </c>
      <c r="D37" s="81">
        <f t="shared" si="1"/>
        <v>2555</v>
      </c>
      <c r="E37" s="70">
        <v>1</v>
      </c>
      <c r="F37" s="81" t="s">
        <v>465</v>
      </c>
      <c r="G37" s="81" t="s">
        <v>463</v>
      </c>
      <c r="H37" s="81">
        <v>1956</v>
      </c>
      <c r="I37" s="81" t="s">
        <v>464</v>
      </c>
    </row>
    <row r="137" spans="1:6" s="81" customFormat="1" x14ac:dyDescent="0.3">
      <c r="A137" s="67"/>
      <c r="B137" s="87"/>
      <c r="C137" s="87"/>
      <c r="E137" s="70"/>
      <c r="F137" s="18"/>
    </row>
    <row r="138" spans="1:6" s="81" customFormat="1" x14ac:dyDescent="0.3">
      <c r="A138" s="67"/>
      <c r="B138" s="87"/>
      <c r="C138" s="87"/>
      <c r="E138" s="70"/>
      <c r="F138" s="18"/>
    </row>
    <row r="139" spans="1:6" s="81" customFormat="1" x14ac:dyDescent="0.3">
      <c r="A139" s="67"/>
      <c r="B139" s="87"/>
      <c r="C139" s="87"/>
      <c r="E139" s="70"/>
      <c r="F139" s="18"/>
    </row>
    <row r="140" spans="1:6" s="81" customFormat="1" x14ac:dyDescent="0.3">
      <c r="A140" s="67"/>
      <c r="B140" s="87"/>
      <c r="C140" s="87"/>
      <c r="E140" s="70"/>
      <c r="F140" s="18"/>
    </row>
    <row r="141" spans="1:6" s="81" customFormat="1" x14ac:dyDescent="0.3">
      <c r="A141" s="67"/>
      <c r="B141" s="87"/>
      <c r="C141" s="87"/>
      <c r="E141" s="70"/>
      <c r="F141" s="18"/>
    </row>
    <row r="142" spans="1:6" s="81" customFormat="1" x14ac:dyDescent="0.3">
      <c r="A142" s="67"/>
      <c r="B142" s="87"/>
      <c r="C142" s="87"/>
      <c r="E142" s="70"/>
      <c r="F142" s="18"/>
    </row>
    <row r="352" spans="1:5" s="81" customFormat="1" x14ac:dyDescent="0.3">
      <c r="A352" s="67"/>
      <c r="B352" s="87"/>
      <c r="C352" s="87"/>
      <c r="E352" s="20"/>
    </row>
    <row r="353" spans="1:5" s="81" customFormat="1" x14ac:dyDescent="0.3">
      <c r="A353" s="67"/>
      <c r="B353" s="87"/>
      <c r="C353" s="87"/>
      <c r="E353" s="20"/>
    </row>
    <row r="354" spans="1:5" s="81" customFormat="1" x14ac:dyDescent="0.3">
      <c r="A354" s="67"/>
      <c r="B354" s="87"/>
      <c r="C354" s="87"/>
      <c r="E354" s="20"/>
    </row>
    <row r="355" spans="1:5" s="81" customFormat="1" x14ac:dyDescent="0.3">
      <c r="A355" s="67"/>
      <c r="B355" s="87"/>
      <c r="C355" s="87"/>
      <c r="E355" s="20"/>
    </row>
    <row r="356" spans="1:5" s="81" customFormat="1" x14ac:dyDescent="0.3">
      <c r="A356" s="67"/>
      <c r="B356" s="87"/>
      <c r="C356" s="87"/>
      <c r="E356" s="20"/>
    </row>
    <row r="357" spans="1:5" s="81" customFormat="1" x14ac:dyDescent="0.3">
      <c r="A357" s="67"/>
      <c r="B357" s="87"/>
      <c r="C357" s="87"/>
      <c r="E357" s="20"/>
    </row>
    <row r="358" spans="1:5" s="81" customFormat="1" x14ac:dyDescent="0.3">
      <c r="A358" s="67"/>
      <c r="B358" s="87"/>
      <c r="C358" s="87"/>
      <c r="E358" s="20"/>
    </row>
    <row r="359" spans="1:5" s="81" customFormat="1" x14ac:dyDescent="0.3">
      <c r="A359" s="67"/>
      <c r="B359" s="87"/>
      <c r="C359" s="87"/>
      <c r="E359" s="20"/>
    </row>
    <row r="360" spans="1:5" s="81" customFormat="1" x14ac:dyDescent="0.3">
      <c r="A360" s="67"/>
      <c r="B360" s="87"/>
      <c r="C360" s="87"/>
      <c r="E360" s="20"/>
    </row>
    <row r="361" spans="1:5" s="81" customFormat="1" x14ac:dyDescent="0.3">
      <c r="A361" s="67"/>
      <c r="B361" s="87"/>
      <c r="C361" s="87"/>
      <c r="E361" s="20"/>
    </row>
    <row r="362" spans="1:5" s="81" customFormat="1" x14ac:dyDescent="0.3">
      <c r="A362" s="67"/>
      <c r="B362" s="87"/>
      <c r="C362" s="87"/>
      <c r="E362" s="20"/>
    </row>
    <row r="363" spans="1:5" s="81" customFormat="1" x14ac:dyDescent="0.3">
      <c r="A363" s="67"/>
      <c r="B363" s="87"/>
      <c r="C363" s="87"/>
      <c r="E363" s="20"/>
    </row>
    <row r="364" spans="1:5" s="81" customFormat="1" x14ac:dyDescent="0.3">
      <c r="A364" s="67"/>
      <c r="B364" s="87"/>
      <c r="C364" s="87"/>
      <c r="E364" s="20"/>
    </row>
    <row r="365" spans="1:5" s="81" customFormat="1" x14ac:dyDescent="0.3">
      <c r="A365" s="67"/>
      <c r="B365" s="87"/>
      <c r="C365" s="87"/>
      <c r="E365" s="20"/>
    </row>
    <row r="366" spans="1:5" s="81" customFormat="1" x14ac:dyDescent="0.3">
      <c r="A366" s="67"/>
      <c r="B366" s="87"/>
      <c r="C366" s="87"/>
      <c r="E366" s="20"/>
    </row>
    <row r="367" spans="1:5" s="81" customFormat="1" x14ac:dyDescent="0.3">
      <c r="A367" s="67"/>
      <c r="B367" s="87"/>
      <c r="C367" s="87"/>
      <c r="E367" s="20"/>
    </row>
    <row r="368" spans="1:5" s="81" customFormat="1" x14ac:dyDescent="0.3">
      <c r="A368" s="67"/>
      <c r="B368" s="87"/>
      <c r="C368" s="87"/>
      <c r="E368" s="20"/>
    </row>
    <row r="369" spans="1:5" s="81" customFormat="1" x14ac:dyDescent="0.3">
      <c r="A369" s="67"/>
      <c r="B369" s="87"/>
      <c r="C369" s="87"/>
      <c r="E369" s="20"/>
    </row>
  </sheetData>
  <sortState ref="A2:J369">
    <sortCondition ref="G2:G369"/>
    <sortCondition ref="H2:H369"/>
    <sortCondition ref="E2:E369"/>
    <sortCondition ref="F2:F369"/>
    <sortCondition ref="D2:D369"/>
  </sortState>
  <conditionalFormatting sqref="E1:E1048576">
    <cfRule type="cellIs" dxfId="53" priority="10" operator="equal">
      <formula>3</formula>
    </cfRule>
    <cfRule type="cellIs" dxfId="52" priority="11" operator="equal">
      <formula>2</formula>
    </cfRule>
    <cfRule type="cellIs" dxfId="51" priority="12" operator="equal">
      <formula>1</formula>
    </cfRule>
  </conditionalFormatting>
  <conditionalFormatting sqref="F1:F1048576">
    <cfRule type="expression" dxfId="50" priority="7">
      <formula>$E1=3</formula>
    </cfRule>
    <cfRule type="expression" dxfId="49" priority="8">
      <formula>$E1=2</formula>
    </cfRule>
    <cfRule type="expression" dxfId="48" priority="9">
      <formula>$E1=1</formula>
    </cfRule>
  </conditionalFormatting>
  <conditionalFormatting sqref="F2:F9">
    <cfRule type="expression" dxfId="47" priority="4">
      <formula>#REF!=3</formula>
    </cfRule>
    <cfRule type="expression" dxfId="46" priority="5">
      <formula>#REF!=2</formula>
    </cfRule>
    <cfRule type="expression" dxfId="45" priority="6">
      <formula>#REF!=1</formula>
    </cfRule>
  </conditionalFormatting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4"/>
  <sheetViews>
    <sheetView zoomScale="57" zoomScaleNormal="57" workbookViewId="0">
      <pane ySplit="1" topLeftCell="A2" activePane="bottomLeft" state="frozen"/>
      <selection pane="bottomLeft" activeCell="D7" sqref="D7"/>
    </sheetView>
  </sheetViews>
  <sheetFormatPr defaultRowHeight="20.25" x14ac:dyDescent="0.3"/>
  <cols>
    <col min="1" max="1" width="13.5703125" style="67" customWidth="1"/>
    <col min="2" max="2" width="10.5703125" style="87" customWidth="1"/>
    <col min="3" max="3" width="13.7109375" style="87" customWidth="1"/>
    <col min="4" max="4" width="16" style="87" customWidth="1"/>
    <col min="5" max="5" width="13" style="81" customWidth="1"/>
    <col min="6" max="6" width="14.85546875" style="70" customWidth="1"/>
    <col min="7" max="7" width="51" style="81" customWidth="1"/>
    <col min="8" max="8" width="16.28515625" style="81" customWidth="1"/>
    <col min="9" max="9" width="9.140625" style="81"/>
    <col min="10" max="10" width="13" style="81" customWidth="1"/>
    <col min="11" max="11" width="26.85546875" style="81" customWidth="1"/>
    <col min="12" max="16384" width="9.140625" style="85"/>
  </cols>
  <sheetData>
    <row r="1" spans="1:11" s="65" customFormat="1" ht="45" customHeight="1" x14ac:dyDescent="0.25">
      <c r="A1" s="66" t="s">
        <v>3</v>
      </c>
      <c r="B1" s="62" t="s">
        <v>405</v>
      </c>
      <c r="C1" s="63" t="s">
        <v>407</v>
      </c>
      <c r="D1" s="63" t="s">
        <v>406</v>
      </c>
      <c r="E1" s="64" t="s">
        <v>0</v>
      </c>
      <c r="F1" s="43" t="s">
        <v>273</v>
      </c>
      <c r="G1" s="55" t="s">
        <v>13</v>
      </c>
      <c r="H1" s="64" t="s">
        <v>10</v>
      </c>
      <c r="I1" s="64" t="s">
        <v>11</v>
      </c>
      <c r="J1" s="64" t="s">
        <v>14</v>
      </c>
      <c r="K1" s="64" t="s">
        <v>12</v>
      </c>
    </row>
    <row r="2" spans="1:11" x14ac:dyDescent="0.3">
      <c r="A2" s="67">
        <v>1</v>
      </c>
      <c r="B2" s="87">
        <v>19.847984111199999</v>
      </c>
      <c r="C2" s="87">
        <v>0</v>
      </c>
      <c r="D2" s="87">
        <v>0</v>
      </c>
      <c r="E2" s="81">
        <f t="shared" ref="E2:E9" si="0">6*365</f>
        <v>2190</v>
      </c>
      <c r="F2" s="70">
        <v>1</v>
      </c>
      <c r="G2" s="81" t="s">
        <v>410</v>
      </c>
      <c r="H2" s="81" t="s">
        <v>408</v>
      </c>
      <c r="I2" s="81">
        <v>1958</v>
      </c>
      <c r="J2" s="81" t="s">
        <v>409</v>
      </c>
    </row>
    <row r="3" spans="1:11" x14ac:dyDescent="0.3">
      <c r="A3" s="67">
        <v>1</v>
      </c>
      <c r="B3" s="87">
        <v>31.128609731899999</v>
      </c>
      <c r="C3" s="87">
        <v>0</v>
      </c>
      <c r="D3" s="87">
        <v>0</v>
      </c>
      <c r="E3" s="81">
        <f t="shared" si="0"/>
        <v>2190</v>
      </c>
      <c r="F3" s="70">
        <v>1</v>
      </c>
      <c r="G3" s="81" t="s">
        <v>410</v>
      </c>
      <c r="H3" s="81" t="s">
        <v>408</v>
      </c>
      <c r="I3" s="81">
        <v>1958</v>
      </c>
      <c r="J3" s="81" t="s">
        <v>409</v>
      </c>
    </row>
    <row r="4" spans="1:11" x14ac:dyDescent="0.3">
      <c r="A4" s="67">
        <v>1</v>
      </c>
      <c r="B4" s="87">
        <v>3.1330160306399999</v>
      </c>
      <c r="C4" s="87">
        <v>0</v>
      </c>
      <c r="D4" s="87">
        <v>0</v>
      </c>
      <c r="E4" s="81">
        <f t="shared" si="0"/>
        <v>2190</v>
      </c>
      <c r="F4" s="70">
        <v>1</v>
      </c>
      <c r="G4" s="81" t="s">
        <v>410</v>
      </c>
      <c r="H4" s="81" t="s">
        <v>408</v>
      </c>
      <c r="I4" s="81">
        <v>1958</v>
      </c>
      <c r="J4" s="81" t="s">
        <v>409</v>
      </c>
    </row>
    <row r="5" spans="1:11" x14ac:dyDescent="0.3">
      <c r="A5" s="67">
        <v>1</v>
      </c>
      <c r="B5" s="87">
        <v>30.072571996000001</v>
      </c>
      <c r="C5" s="87">
        <v>0</v>
      </c>
      <c r="D5" s="87">
        <v>0</v>
      </c>
      <c r="E5" s="81">
        <f t="shared" si="0"/>
        <v>2190</v>
      </c>
      <c r="F5" s="70">
        <v>1</v>
      </c>
      <c r="G5" s="81" t="s">
        <v>410</v>
      </c>
      <c r="H5" s="81" t="s">
        <v>408</v>
      </c>
      <c r="I5" s="81">
        <v>1958</v>
      </c>
      <c r="J5" s="81" t="s">
        <v>409</v>
      </c>
    </row>
    <row r="6" spans="1:11" x14ac:dyDescent="0.3">
      <c r="A6" s="67">
        <v>1</v>
      </c>
      <c r="B6" s="87">
        <v>15.778604057300001</v>
      </c>
      <c r="C6" s="87">
        <v>0</v>
      </c>
      <c r="D6" s="87">
        <v>0</v>
      </c>
      <c r="E6" s="81">
        <f t="shared" si="0"/>
        <v>2190</v>
      </c>
      <c r="F6" s="70">
        <v>1</v>
      </c>
      <c r="G6" s="81" t="s">
        <v>410</v>
      </c>
      <c r="H6" s="81" t="s">
        <v>408</v>
      </c>
      <c r="I6" s="81">
        <v>1958</v>
      </c>
      <c r="J6" s="81" t="s">
        <v>409</v>
      </c>
    </row>
    <row r="7" spans="1:11" x14ac:dyDescent="0.3">
      <c r="A7" s="67">
        <v>1</v>
      </c>
      <c r="B7" s="87">
        <v>35.403775003500002</v>
      </c>
      <c r="C7" s="87">
        <v>0</v>
      </c>
      <c r="D7" s="87">
        <v>0</v>
      </c>
      <c r="E7" s="81">
        <f t="shared" si="0"/>
        <v>2190</v>
      </c>
      <c r="F7" s="70">
        <v>1</v>
      </c>
      <c r="G7" s="81" t="s">
        <v>410</v>
      </c>
      <c r="H7" s="81" t="s">
        <v>408</v>
      </c>
      <c r="I7" s="81">
        <v>1958</v>
      </c>
      <c r="J7" s="81" t="s">
        <v>409</v>
      </c>
    </row>
    <row r="8" spans="1:11" x14ac:dyDescent="0.3">
      <c r="A8" s="67">
        <v>1</v>
      </c>
      <c r="B8" s="87">
        <v>6.7385771031399999</v>
      </c>
      <c r="C8" s="87">
        <v>0</v>
      </c>
      <c r="D8" s="87">
        <v>0</v>
      </c>
      <c r="E8" s="81">
        <f t="shared" si="0"/>
        <v>2190</v>
      </c>
      <c r="F8" s="70">
        <v>1</v>
      </c>
      <c r="G8" s="81" t="s">
        <v>410</v>
      </c>
      <c r="H8" s="81" t="s">
        <v>408</v>
      </c>
      <c r="I8" s="81">
        <v>1958</v>
      </c>
      <c r="J8" s="81" t="s">
        <v>409</v>
      </c>
    </row>
    <row r="9" spans="1:11" x14ac:dyDescent="0.3">
      <c r="A9" s="67">
        <v>1</v>
      </c>
      <c r="B9" s="87">
        <v>8.4898496240599997</v>
      </c>
      <c r="C9" s="87">
        <v>0</v>
      </c>
      <c r="D9" s="87">
        <v>0</v>
      </c>
      <c r="E9" s="81">
        <f t="shared" si="0"/>
        <v>2190</v>
      </c>
      <c r="F9" s="70">
        <v>1</v>
      </c>
      <c r="G9" s="81" t="s">
        <v>410</v>
      </c>
      <c r="H9" s="81" t="s">
        <v>408</v>
      </c>
      <c r="I9" s="81">
        <v>1958</v>
      </c>
      <c r="J9" s="81" t="s">
        <v>409</v>
      </c>
    </row>
    <row r="10" spans="1:11" x14ac:dyDescent="0.3">
      <c r="A10" s="67">
        <v>1</v>
      </c>
      <c r="B10" s="87">
        <v>9.1594538232399998</v>
      </c>
      <c r="C10" s="87">
        <v>0</v>
      </c>
      <c r="D10" s="87">
        <v>0</v>
      </c>
      <c r="E10" s="81">
        <f t="shared" ref="E10:E73" si="1">6*365</f>
        <v>2190</v>
      </c>
      <c r="F10" s="70">
        <v>1</v>
      </c>
      <c r="G10" s="81" t="s">
        <v>410</v>
      </c>
      <c r="H10" s="81" t="s">
        <v>408</v>
      </c>
      <c r="I10" s="81">
        <v>1958</v>
      </c>
      <c r="J10" s="81" t="s">
        <v>409</v>
      </c>
    </row>
    <row r="11" spans="1:11" x14ac:dyDescent="0.3">
      <c r="A11" s="67">
        <v>1</v>
      </c>
      <c r="B11" s="87">
        <v>7.0990097886200001</v>
      </c>
      <c r="C11" s="87">
        <v>0</v>
      </c>
      <c r="D11" s="87">
        <v>0</v>
      </c>
      <c r="E11" s="81">
        <f t="shared" si="1"/>
        <v>2190</v>
      </c>
      <c r="F11" s="70">
        <v>1</v>
      </c>
      <c r="G11" s="81" t="s">
        <v>410</v>
      </c>
      <c r="H11" s="81" t="s">
        <v>408</v>
      </c>
      <c r="I11" s="81">
        <v>1958</v>
      </c>
      <c r="J11" s="81" t="s">
        <v>409</v>
      </c>
    </row>
    <row r="12" spans="1:11" x14ac:dyDescent="0.3">
      <c r="A12" s="67">
        <v>1</v>
      </c>
      <c r="B12" s="87">
        <v>8.0004000567499993</v>
      </c>
      <c r="C12" s="87">
        <v>0</v>
      </c>
      <c r="D12" s="87">
        <v>0</v>
      </c>
      <c r="E12" s="81">
        <f t="shared" si="1"/>
        <v>2190</v>
      </c>
      <c r="F12" s="70">
        <v>1</v>
      </c>
      <c r="G12" s="81" t="s">
        <v>410</v>
      </c>
      <c r="H12" s="81" t="s">
        <v>408</v>
      </c>
      <c r="I12" s="81">
        <v>1958</v>
      </c>
      <c r="J12" s="81" t="s">
        <v>409</v>
      </c>
    </row>
    <row r="13" spans="1:11" x14ac:dyDescent="0.3">
      <c r="A13" s="67">
        <v>1</v>
      </c>
      <c r="B13" s="87">
        <v>29.011720811499998</v>
      </c>
      <c r="C13" s="87">
        <v>1</v>
      </c>
      <c r="D13" s="87">
        <v>0.98005958291999995</v>
      </c>
      <c r="E13" s="81">
        <f t="shared" si="1"/>
        <v>2190</v>
      </c>
      <c r="F13" s="70">
        <v>1</v>
      </c>
      <c r="G13" s="81" t="s">
        <v>410</v>
      </c>
      <c r="H13" s="81" t="s">
        <v>408</v>
      </c>
      <c r="I13" s="81">
        <v>1958</v>
      </c>
      <c r="J13" s="81" t="s">
        <v>409</v>
      </c>
    </row>
    <row r="14" spans="1:11" x14ac:dyDescent="0.3">
      <c r="A14" s="67">
        <v>1</v>
      </c>
      <c r="B14" s="87">
        <v>27.0285387998</v>
      </c>
      <c r="C14" s="87">
        <v>1</v>
      </c>
      <c r="D14" s="87">
        <v>0.98295361044100005</v>
      </c>
      <c r="E14" s="81">
        <f t="shared" si="1"/>
        <v>2190</v>
      </c>
      <c r="F14" s="70">
        <v>1</v>
      </c>
      <c r="G14" s="81" t="s">
        <v>410</v>
      </c>
      <c r="H14" s="81" t="s">
        <v>408</v>
      </c>
      <c r="I14" s="81">
        <v>1958</v>
      </c>
      <c r="J14" s="81" t="s">
        <v>409</v>
      </c>
    </row>
    <row r="15" spans="1:11" x14ac:dyDescent="0.3">
      <c r="A15" s="67">
        <v>1</v>
      </c>
      <c r="B15" s="87">
        <v>5.70347992623</v>
      </c>
      <c r="C15" s="87">
        <v>1</v>
      </c>
      <c r="D15" s="87">
        <v>0.98370265285900005</v>
      </c>
      <c r="E15" s="81">
        <f t="shared" si="1"/>
        <v>2190</v>
      </c>
      <c r="F15" s="70">
        <v>1</v>
      </c>
      <c r="G15" s="81" t="s">
        <v>410</v>
      </c>
      <c r="H15" s="81" t="s">
        <v>408</v>
      </c>
      <c r="I15" s="81">
        <v>1958</v>
      </c>
      <c r="J15" s="81" t="s">
        <v>409</v>
      </c>
    </row>
    <row r="16" spans="1:11" x14ac:dyDescent="0.3">
      <c r="A16" s="67">
        <v>1</v>
      </c>
      <c r="B16" s="87">
        <v>9.9015065966800009</v>
      </c>
      <c r="C16" s="87">
        <v>1</v>
      </c>
      <c r="D16" s="87">
        <v>0.98471272520899999</v>
      </c>
      <c r="E16" s="81">
        <f t="shared" si="1"/>
        <v>2190</v>
      </c>
      <c r="F16" s="70">
        <v>1</v>
      </c>
      <c r="G16" s="81" t="s">
        <v>410</v>
      </c>
      <c r="H16" s="81" t="s">
        <v>408</v>
      </c>
      <c r="I16" s="81">
        <v>1958</v>
      </c>
      <c r="J16" s="81" t="s">
        <v>409</v>
      </c>
    </row>
    <row r="17" spans="1:10" x14ac:dyDescent="0.3">
      <c r="A17" s="67">
        <v>1</v>
      </c>
      <c r="B17" s="87">
        <v>16.829458079199998</v>
      </c>
      <c r="C17" s="87">
        <v>1</v>
      </c>
      <c r="D17" s="87">
        <v>0.990534827635</v>
      </c>
      <c r="E17" s="81">
        <f t="shared" si="1"/>
        <v>2190</v>
      </c>
      <c r="F17" s="70">
        <v>1</v>
      </c>
      <c r="G17" s="81" t="s">
        <v>410</v>
      </c>
      <c r="H17" s="81" t="s">
        <v>408</v>
      </c>
      <c r="I17" s="81">
        <v>1958</v>
      </c>
      <c r="J17" s="81" t="s">
        <v>409</v>
      </c>
    </row>
    <row r="18" spans="1:10" x14ac:dyDescent="0.3">
      <c r="A18" s="67">
        <v>1</v>
      </c>
      <c r="B18" s="87">
        <v>6.0124045963999997</v>
      </c>
      <c r="C18" s="87">
        <v>1</v>
      </c>
      <c r="D18" s="87">
        <v>0.99063696978299998</v>
      </c>
      <c r="E18" s="81">
        <f t="shared" si="1"/>
        <v>2190</v>
      </c>
      <c r="F18" s="70">
        <v>1</v>
      </c>
      <c r="G18" s="81" t="s">
        <v>410</v>
      </c>
      <c r="H18" s="81" t="s">
        <v>408</v>
      </c>
      <c r="I18" s="81">
        <v>1958</v>
      </c>
      <c r="J18" s="81" t="s">
        <v>409</v>
      </c>
    </row>
    <row r="19" spans="1:10" x14ac:dyDescent="0.3">
      <c r="A19" s="67">
        <v>1</v>
      </c>
      <c r="B19" s="87">
        <v>3.9777145694399998</v>
      </c>
      <c r="C19" s="87">
        <v>1</v>
      </c>
      <c r="D19" s="87">
        <v>0.99344020428400004</v>
      </c>
      <c r="E19" s="81">
        <f t="shared" si="1"/>
        <v>2190</v>
      </c>
      <c r="F19" s="70">
        <v>1</v>
      </c>
      <c r="G19" s="81" t="s">
        <v>410</v>
      </c>
      <c r="H19" s="81" t="s">
        <v>408</v>
      </c>
      <c r="I19" s="81">
        <v>1958</v>
      </c>
      <c r="J19" s="81" t="s">
        <v>409</v>
      </c>
    </row>
    <row r="20" spans="1:10" x14ac:dyDescent="0.3">
      <c r="A20" s="67">
        <v>1</v>
      </c>
      <c r="B20" s="87">
        <v>7.8409391402999997</v>
      </c>
      <c r="C20" s="87">
        <v>1</v>
      </c>
      <c r="D20" s="87">
        <v>0.993860122003</v>
      </c>
      <c r="E20" s="81">
        <f t="shared" si="1"/>
        <v>2190</v>
      </c>
      <c r="F20" s="70">
        <v>1</v>
      </c>
      <c r="G20" s="81" t="s">
        <v>410</v>
      </c>
      <c r="H20" s="81" t="s">
        <v>408</v>
      </c>
      <c r="I20" s="81">
        <v>1958</v>
      </c>
      <c r="J20" s="81" t="s">
        <v>409</v>
      </c>
    </row>
    <row r="21" spans="1:10" x14ac:dyDescent="0.3">
      <c r="A21" s="67">
        <v>1</v>
      </c>
      <c r="B21" s="87">
        <v>4.2867626613700001</v>
      </c>
      <c r="C21" s="87">
        <v>1</v>
      </c>
      <c r="D21" s="87">
        <v>0.99398496240599998</v>
      </c>
      <c r="E21" s="81">
        <f t="shared" si="1"/>
        <v>2190</v>
      </c>
      <c r="F21" s="70">
        <v>1</v>
      </c>
      <c r="G21" s="81" t="s">
        <v>410</v>
      </c>
      <c r="H21" s="81" t="s">
        <v>408</v>
      </c>
      <c r="I21" s="81">
        <v>1958</v>
      </c>
      <c r="J21" s="81" t="s">
        <v>409</v>
      </c>
    </row>
    <row r="22" spans="1:10" x14ac:dyDescent="0.3">
      <c r="A22" s="67">
        <v>1</v>
      </c>
      <c r="B22" s="87">
        <v>30.212408852300001</v>
      </c>
      <c r="C22" s="87">
        <v>1</v>
      </c>
      <c r="D22" s="87">
        <v>1.48696836431</v>
      </c>
      <c r="E22" s="81">
        <f t="shared" si="1"/>
        <v>2190</v>
      </c>
      <c r="F22" s="70">
        <v>1</v>
      </c>
      <c r="G22" s="81" t="s">
        <v>410</v>
      </c>
      <c r="H22" s="81" t="s">
        <v>408</v>
      </c>
      <c r="I22" s="81">
        <v>1958</v>
      </c>
      <c r="J22" s="81" t="s">
        <v>409</v>
      </c>
    </row>
    <row r="23" spans="1:10" x14ac:dyDescent="0.3">
      <c r="A23" s="67">
        <v>1</v>
      </c>
      <c r="B23" s="87">
        <v>33.199873740999998</v>
      </c>
      <c r="C23" s="87">
        <v>1</v>
      </c>
      <c r="D23" s="87">
        <v>1.49223435948</v>
      </c>
      <c r="E23" s="81">
        <f t="shared" si="1"/>
        <v>2190</v>
      </c>
      <c r="F23" s="70">
        <v>1</v>
      </c>
      <c r="G23" s="81" t="s">
        <v>410</v>
      </c>
      <c r="H23" s="81" t="s">
        <v>408</v>
      </c>
      <c r="I23" s="81">
        <v>1958</v>
      </c>
      <c r="J23" s="81" t="s">
        <v>409</v>
      </c>
    </row>
    <row r="24" spans="1:10" x14ac:dyDescent="0.3">
      <c r="A24" s="67">
        <v>1</v>
      </c>
      <c r="B24" s="87">
        <v>5.8738842388999997</v>
      </c>
      <c r="C24" s="87">
        <v>1</v>
      </c>
      <c r="D24" s="87">
        <v>1.4951851326400001</v>
      </c>
      <c r="E24" s="81">
        <f t="shared" si="1"/>
        <v>2190</v>
      </c>
      <c r="F24" s="70">
        <v>1</v>
      </c>
      <c r="G24" s="81" t="s">
        <v>410</v>
      </c>
      <c r="H24" s="81" t="s">
        <v>408</v>
      </c>
      <c r="I24" s="81">
        <v>1958</v>
      </c>
      <c r="J24" s="81" t="s">
        <v>409</v>
      </c>
    </row>
    <row r="25" spans="1:10" x14ac:dyDescent="0.3">
      <c r="A25" s="67">
        <v>1</v>
      </c>
      <c r="B25" s="87">
        <v>10.174926940000001</v>
      </c>
      <c r="C25" s="87">
        <v>1</v>
      </c>
      <c r="D25" s="87">
        <v>1.4963767910300001</v>
      </c>
      <c r="E25" s="81">
        <f t="shared" si="1"/>
        <v>2190</v>
      </c>
      <c r="F25" s="70">
        <v>1</v>
      </c>
      <c r="G25" s="81" t="s">
        <v>410</v>
      </c>
      <c r="H25" s="81" t="s">
        <v>408</v>
      </c>
      <c r="I25" s="81">
        <v>1958</v>
      </c>
      <c r="J25" s="81" t="s">
        <v>409</v>
      </c>
    </row>
    <row r="26" spans="1:10" x14ac:dyDescent="0.3">
      <c r="A26" s="67">
        <v>1</v>
      </c>
      <c r="B26" s="87">
        <v>9.5567073343699995</v>
      </c>
      <c r="C26" s="87">
        <v>1</v>
      </c>
      <c r="D26" s="87">
        <v>1.5016768335899999</v>
      </c>
      <c r="E26" s="81">
        <f t="shared" si="1"/>
        <v>2190</v>
      </c>
      <c r="F26" s="70">
        <v>1</v>
      </c>
      <c r="G26" s="81" t="s">
        <v>410</v>
      </c>
      <c r="H26" s="81" t="s">
        <v>408</v>
      </c>
      <c r="I26" s="81">
        <v>1958</v>
      </c>
      <c r="J26" s="81" t="s">
        <v>409</v>
      </c>
    </row>
    <row r="27" spans="1:10" x14ac:dyDescent="0.3">
      <c r="A27" s="67">
        <v>1</v>
      </c>
      <c r="B27" s="87">
        <v>32.117958575700001</v>
      </c>
      <c r="C27" s="87">
        <v>1</v>
      </c>
      <c r="D27" s="87">
        <v>1.50310682366</v>
      </c>
      <c r="E27" s="81">
        <f t="shared" si="1"/>
        <v>2190</v>
      </c>
      <c r="F27" s="70">
        <v>1</v>
      </c>
      <c r="G27" s="81" t="s">
        <v>410</v>
      </c>
      <c r="H27" s="81" t="s">
        <v>408</v>
      </c>
      <c r="I27" s="81">
        <v>1958</v>
      </c>
      <c r="J27" s="81" t="s">
        <v>409</v>
      </c>
    </row>
    <row r="28" spans="1:10" x14ac:dyDescent="0.3">
      <c r="A28" s="67">
        <v>1</v>
      </c>
      <c r="B28" s="87">
        <v>27.915488721799999</v>
      </c>
      <c r="C28" s="87">
        <v>1</v>
      </c>
      <c r="D28" s="87">
        <v>1.73212086821</v>
      </c>
      <c r="E28" s="81">
        <f t="shared" si="1"/>
        <v>2190</v>
      </c>
      <c r="F28" s="70">
        <v>1</v>
      </c>
      <c r="G28" s="81" t="s">
        <v>410</v>
      </c>
      <c r="H28" s="81" t="s">
        <v>408</v>
      </c>
      <c r="I28" s="81">
        <v>1958</v>
      </c>
      <c r="J28" s="81" t="s">
        <v>409</v>
      </c>
    </row>
    <row r="29" spans="1:10" x14ac:dyDescent="0.3">
      <c r="A29" s="67">
        <v>1</v>
      </c>
      <c r="B29" s="87">
        <v>9.9643282735100005</v>
      </c>
      <c r="C29" s="87">
        <v>1</v>
      </c>
      <c r="D29" s="87">
        <v>1.7324272946499999</v>
      </c>
      <c r="E29" s="81">
        <f t="shared" si="1"/>
        <v>2190</v>
      </c>
      <c r="F29" s="70">
        <v>1</v>
      </c>
      <c r="G29" s="81" t="s">
        <v>410</v>
      </c>
      <c r="H29" s="81" t="s">
        <v>408</v>
      </c>
      <c r="I29" s="81">
        <v>1958</v>
      </c>
      <c r="J29" s="81" t="s">
        <v>409</v>
      </c>
    </row>
    <row r="30" spans="1:10" x14ac:dyDescent="0.3">
      <c r="A30" s="67">
        <v>1</v>
      </c>
      <c r="B30" s="87">
        <v>18.720690878100001</v>
      </c>
      <c r="C30" s="87">
        <v>1</v>
      </c>
      <c r="D30" s="87">
        <v>1.7478621081000001</v>
      </c>
      <c r="E30" s="81">
        <f t="shared" si="1"/>
        <v>2190</v>
      </c>
      <c r="F30" s="70">
        <v>1</v>
      </c>
      <c r="G30" s="81" t="s">
        <v>410</v>
      </c>
      <c r="H30" s="81" t="s">
        <v>408</v>
      </c>
      <c r="I30" s="81">
        <v>1958</v>
      </c>
      <c r="J30" s="81" t="s">
        <v>409</v>
      </c>
    </row>
    <row r="31" spans="1:10" x14ac:dyDescent="0.3">
      <c r="A31" s="67">
        <v>1</v>
      </c>
      <c r="B31" s="87">
        <v>6.8429096325699996</v>
      </c>
      <c r="C31" s="87">
        <v>1</v>
      </c>
      <c r="D31" s="87">
        <v>1.9952957866400001</v>
      </c>
      <c r="E31" s="81">
        <f t="shared" si="1"/>
        <v>2190</v>
      </c>
      <c r="F31" s="70">
        <v>1</v>
      </c>
      <c r="G31" s="81" t="s">
        <v>410</v>
      </c>
      <c r="H31" s="81" t="s">
        <v>408</v>
      </c>
      <c r="I31" s="81">
        <v>1958</v>
      </c>
      <c r="J31" s="81" t="s">
        <v>409</v>
      </c>
    </row>
    <row r="32" spans="1:10" x14ac:dyDescent="0.3">
      <c r="A32" s="67">
        <v>1</v>
      </c>
      <c r="B32" s="87">
        <v>15.651027096</v>
      </c>
      <c r="C32" s="87">
        <v>1</v>
      </c>
      <c r="D32" s="87">
        <v>1.9980422755</v>
      </c>
      <c r="E32" s="81">
        <f t="shared" si="1"/>
        <v>2190</v>
      </c>
      <c r="F32" s="70">
        <v>1</v>
      </c>
      <c r="G32" s="81" t="s">
        <v>410</v>
      </c>
      <c r="H32" s="81" t="s">
        <v>408</v>
      </c>
      <c r="I32" s="81">
        <v>1958</v>
      </c>
      <c r="J32" s="81" t="s">
        <v>409</v>
      </c>
    </row>
    <row r="33" spans="1:10" x14ac:dyDescent="0.3">
      <c r="A33" s="67">
        <v>1</v>
      </c>
      <c r="B33" s="87">
        <v>9.9030699389999999</v>
      </c>
      <c r="C33" s="87">
        <v>1</v>
      </c>
      <c r="D33" s="87">
        <v>2.2371116470399999</v>
      </c>
      <c r="E33" s="81">
        <f t="shared" si="1"/>
        <v>2190</v>
      </c>
      <c r="F33" s="70">
        <v>1</v>
      </c>
      <c r="G33" s="81" t="s">
        <v>410</v>
      </c>
      <c r="H33" s="81" t="s">
        <v>408</v>
      </c>
      <c r="I33" s="81">
        <v>1958</v>
      </c>
      <c r="J33" s="81" t="s">
        <v>409</v>
      </c>
    </row>
    <row r="34" spans="1:10" x14ac:dyDescent="0.3">
      <c r="A34" s="67">
        <v>1</v>
      </c>
      <c r="B34" s="87">
        <v>11.8087430841</v>
      </c>
      <c r="C34" s="87">
        <v>1</v>
      </c>
      <c r="D34" s="87">
        <v>2.2468605475999999</v>
      </c>
      <c r="E34" s="81">
        <f t="shared" si="1"/>
        <v>2190</v>
      </c>
      <c r="F34" s="70">
        <v>1</v>
      </c>
      <c r="G34" s="81" t="s">
        <v>410</v>
      </c>
      <c r="H34" s="81" t="s">
        <v>408</v>
      </c>
      <c r="I34" s="81">
        <v>1958</v>
      </c>
      <c r="J34" s="81" t="s">
        <v>409</v>
      </c>
    </row>
    <row r="35" spans="1:10" x14ac:dyDescent="0.3">
      <c r="A35" s="67">
        <v>1</v>
      </c>
      <c r="B35" s="87">
        <v>1.94458788481</v>
      </c>
      <c r="C35" s="87">
        <v>1</v>
      </c>
      <c r="D35" s="87">
        <v>2.2486423606199999</v>
      </c>
      <c r="E35" s="81">
        <f t="shared" si="1"/>
        <v>2190</v>
      </c>
      <c r="F35" s="70">
        <v>1</v>
      </c>
      <c r="G35" s="81" t="s">
        <v>410</v>
      </c>
      <c r="H35" s="81" t="s">
        <v>408</v>
      </c>
      <c r="I35" s="81">
        <v>1958</v>
      </c>
      <c r="J35" s="81" t="s">
        <v>409</v>
      </c>
    </row>
    <row r="36" spans="1:10" x14ac:dyDescent="0.3">
      <c r="A36" s="67">
        <v>1</v>
      </c>
      <c r="B36" s="87">
        <v>8.8680961838600005</v>
      </c>
      <c r="C36" s="87">
        <v>1</v>
      </c>
      <c r="D36" s="87">
        <v>2.4844885799399998</v>
      </c>
      <c r="E36" s="81">
        <f t="shared" si="1"/>
        <v>2190</v>
      </c>
      <c r="F36" s="70">
        <v>1</v>
      </c>
      <c r="G36" s="81" t="s">
        <v>410</v>
      </c>
      <c r="H36" s="81" t="s">
        <v>408</v>
      </c>
      <c r="I36" s="81">
        <v>1958</v>
      </c>
      <c r="J36" s="81" t="s">
        <v>409</v>
      </c>
    </row>
    <row r="37" spans="1:10" x14ac:dyDescent="0.3">
      <c r="A37" s="67">
        <v>1</v>
      </c>
      <c r="B37" s="87">
        <v>17.830737693300001</v>
      </c>
      <c r="C37" s="87">
        <v>1</v>
      </c>
      <c r="D37" s="87">
        <v>2.4875074478600001</v>
      </c>
      <c r="E37" s="81">
        <f t="shared" si="1"/>
        <v>2190</v>
      </c>
      <c r="F37" s="70">
        <v>1</v>
      </c>
      <c r="G37" s="81" t="s">
        <v>410</v>
      </c>
      <c r="H37" s="81" t="s">
        <v>408</v>
      </c>
      <c r="I37" s="81">
        <v>1958</v>
      </c>
      <c r="J37" s="81" t="s">
        <v>409</v>
      </c>
    </row>
    <row r="38" spans="1:10" x14ac:dyDescent="0.3">
      <c r="A38" s="67">
        <v>1</v>
      </c>
      <c r="B38" s="87">
        <v>2.9958121719399999</v>
      </c>
      <c r="C38" s="87">
        <v>1</v>
      </c>
      <c r="D38" s="87">
        <v>2.4933068520399999</v>
      </c>
      <c r="E38" s="81">
        <f t="shared" si="1"/>
        <v>2190</v>
      </c>
      <c r="F38" s="70">
        <v>1</v>
      </c>
      <c r="G38" s="81" t="s">
        <v>410</v>
      </c>
      <c r="H38" s="81" t="s">
        <v>408</v>
      </c>
      <c r="I38" s="81">
        <v>1958</v>
      </c>
      <c r="J38" s="81" t="s">
        <v>409</v>
      </c>
    </row>
    <row r="39" spans="1:10" x14ac:dyDescent="0.3">
      <c r="A39" s="67">
        <v>1</v>
      </c>
      <c r="B39" s="87">
        <v>6.9876833593400001</v>
      </c>
      <c r="C39" s="87">
        <v>1</v>
      </c>
      <c r="D39" s="87">
        <v>2.50034331111</v>
      </c>
      <c r="E39" s="81">
        <f t="shared" si="1"/>
        <v>2190</v>
      </c>
      <c r="F39" s="70">
        <v>1</v>
      </c>
      <c r="G39" s="81" t="s">
        <v>410</v>
      </c>
      <c r="H39" s="81" t="s">
        <v>408</v>
      </c>
      <c r="I39" s="81">
        <v>1958</v>
      </c>
      <c r="J39" s="81" t="s">
        <v>409</v>
      </c>
    </row>
    <row r="40" spans="1:10" x14ac:dyDescent="0.3">
      <c r="A40" s="67">
        <v>1</v>
      </c>
      <c r="B40" s="87">
        <v>10.6448758689</v>
      </c>
      <c r="C40" s="87">
        <v>1</v>
      </c>
      <c r="D40" s="87">
        <v>2.5004000567500002</v>
      </c>
      <c r="E40" s="81">
        <f t="shared" si="1"/>
        <v>2190</v>
      </c>
      <c r="F40" s="70">
        <v>1</v>
      </c>
      <c r="G40" s="81" t="s">
        <v>410</v>
      </c>
      <c r="H40" s="81" t="s">
        <v>408</v>
      </c>
      <c r="I40" s="81">
        <v>1958</v>
      </c>
      <c r="J40" s="81" t="s">
        <v>409</v>
      </c>
    </row>
    <row r="41" spans="1:10" x14ac:dyDescent="0.3">
      <c r="A41" s="67">
        <v>1</v>
      </c>
      <c r="B41" s="87">
        <v>11.0569399915</v>
      </c>
      <c r="C41" s="87">
        <v>1</v>
      </c>
      <c r="D41" s="87">
        <v>2.50112640091</v>
      </c>
      <c r="E41" s="81">
        <f t="shared" si="1"/>
        <v>2190</v>
      </c>
      <c r="F41" s="70">
        <v>1</v>
      </c>
      <c r="G41" s="81" t="s">
        <v>410</v>
      </c>
      <c r="H41" s="81" t="s">
        <v>408</v>
      </c>
      <c r="I41" s="81">
        <v>1958</v>
      </c>
      <c r="J41" s="81" t="s">
        <v>409</v>
      </c>
    </row>
    <row r="42" spans="1:10" x14ac:dyDescent="0.3">
      <c r="A42" s="67">
        <v>1</v>
      </c>
      <c r="B42" s="87">
        <v>32.098581359100002</v>
      </c>
      <c r="C42" s="87">
        <v>1</v>
      </c>
      <c r="D42" s="87">
        <v>2.50626755568</v>
      </c>
      <c r="E42" s="81">
        <f t="shared" si="1"/>
        <v>2190</v>
      </c>
      <c r="F42" s="70">
        <v>1</v>
      </c>
      <c r="G42" s="81" t="s">
        <v>410</v>
      </c>
      <c r="H42" s="81" t="s">
        <v>408</v>
      </c>
      <c r="I42" s="81">
        <v>1958</v>
      </c>
      <c r="J42" s="81" t="s">
        <v>409</v>
      </c>
    </row>
    <row r="43" spans="1:10" x14ac:dyDescent="0.3">
      <c r="A43" s="67">
        <v>1</v>
      </c>
      <c r="B43" s="87">
        <v>11.8765016314</v>
      </c>
      <c r="C43" s="87">
        <v>1</v>
      </c>
      <c r="D43" s="87">
        <v>2.7389927649299999</v>
      </c>
      <c r="E43" s="81">
        <f t="shared" si="1"/>
        <v>2190</v>
      </c>
      <c r="F43" s="70">
        <v>1</v>
      </c>
      <c r="G43" s="81" t="s">
        <v>410</v>
      </c>
      <c r="H43" s="81" t="s">
        <v>408</v>
      </c>
      <c r="I43" s="81">
        <v>1958</v>
      </c>
      <c r="J43" s="81" t="s">
        <v>409</v>
      </c>
    </row>
    <row r="44" spans="1:10" x14ac:dyDescent="0.3">
      <c r="A44" s="67">
        <v>1</v>
      </c>
      <c r="B44" s="87">
        <v>1.9093304014800001</v>
      </c>
      <c r="C44" s="87">
        <v>1</v>
      </c>
      <c r="D44" s="87">
        <v>2.7405929919099998</v>
      </c>
      <c r="E44" s="81">
        <f t="shared" si="1"/>
        <v>2190</v>
      </c>
      <c r="F44" s="70">
        <v>1</v>
      </c>
      <c r="G44" s="81" t="s">
        <v>410</v>
      </c>
      <c r="H44" s="81" t="s">
        <v>408</v>
      </c>
      <c r="I44" s="81">
        <v>1958</v>
      </c>
      <c r="J44" s="81" t="s">
        <v>409</v>
      </c>
    </row>
    <row r="45" spans="1:10" x14ac:dyDescent="0.3">
      <c r="A45" s="67">
        <v>1</v>
      </c>
      <c r="B45" s="87">
        <v>10.7947098879</v>
      </c>
      <c r="C45" s="87">
        <v>1</v>
      </c>
      <c r="D45" s="87">
        <v>2.7434756703100001</v>
      </c>
      <c r="E45" s="81">
        <f t="shared" si="1"/>
        <v>2190</v>
      </c>
      <c r="F45" s="70">
        <v>1</v>
      </c>
      <c r="G45" s="81" t="s">
        <v>410</v>
      </c>
      <c r="H45" s="81" t="s">
        <v>408</v>
      </c>
      <c r="I45" s="81">
        <v>1958</v>
      </c>
      <c r="J45" s="81" t="s">
        <v>409</v>
      </c>
    </row>
    <row r="46" spans="1:10" x14ac:dyDescent="0.3">
      <c r="A46" s="67">
        <v>1</v>
      </c>
      <c r="B46" s="87">
        <v>9.6099021137800005</v>
      </c>
      <c r="C46" s="87">
        <v>1</v>
      </c>
      <c r="D46" s="87">
        <v>2.7477769896400002</v>
      </c>
      <c r="E46" s="81">
        <f t="shared" si="1"/>
        <v>2190</v>
      </c>
      <c r="F46" s="70">
        <v>1</v>
      </c>
      <c r="G46" s="81" t="s">
        <v>410</v>
      </c>
      <c r="H46" s="81" t="s">
        <v>408</v>
      </c>
      <c r="I46" s="81">
        <v>1958</v>
      </c>
      <c r="J46" s="81" t="s">
        <v>409</v>
      </c>
    </row>
    <row r="47" spans="1:10" x14ac:dyDescent="0.3">
      <c r="A47" s="67">
        <v>1</v>
      </c>
      <c r="B47" s="87">
        <v>9.8674421903800003</v>
      </c>
      <c r="C47" s="87">
        <v>1</v>
      </c>
      <c r="D47" s="87">
        <v>2.7482309547499999</v>
      </c>
      <c r="E47" s="81">
        <f t="shared" si="1"/>
        <v>2190</v>
      </c>
      <c r="F47" s="70">
        <v>1</v>
      </c>
      <c r="G47" s="81" t="s">
        <v>410</v>
      </c>
      <c r="H47" s="81" t="s">
        <v>408</v>
      </c>
      <c r="I47" s="81">
        <v>1958</v>
      </c>
      <c r="J47" s="81" t="s">
        <v>409</v>
      </c>
    </row>
    <row r="48" spans="1:10" x14ac:dyDescent="0.3">
      <c r="A48" s="67">
        <v>1</v>
      </c>
      <c r="B48" s="87">
        <v>10.1507362746</v>
      </c>
      <c r="C48" s="87">
        <v>1</v>
      </c>
      <c r="D48" s="87">
        <v>2.7487303163600001</v>
      </c>
      <c r="E48" s="81">
        <f t="shared" si="1"/>
        <v>2190</v>
      </c>
      <c r="F48" s="70">
        <v>1</v>
      </c>
      <c r="G48" s="81" t="s">
        <v>410</v>
      </c>
      <c r="H48" s="81" t="s">
        <v>408</v>
      </c>
      <c r="I48" s="81">
        <v>1958</v>
      </c>
      <c r="J48" s="81" t="s">
        <v>409</v>
      </c>
    </row>
    <row r="49" spans="1:10" x14ac:dyDescent="0.3">
      <c r="A49" s="67">
        <v>1</v>
      </c>
      <c r="B49" s="87">
        <v>6.8025918570000004</v>
      </c>
      <c r="C49" s="87">
        <v>1</v>
      </c>
      <c r="D49" s="87">
        <v>2.7492183288400001</v>
      </c>
      <c r="E49" s="81">
        <f t="shared" si="1"/>
        <v>2190</v>
      </c>
      <c r="F49" s="70">
        <v>1</v>
      </c>
      <c r="G49" s="81" t="s">
        <v>410</v>
      </c>
      <c r="H49" s="81" t="s">
        <v>408</v>
      </c>
      <c r="I49" s="81">
        <v>1958</v>
      </c>
      <c r="J49" s="81" t="s">
        <v>409</v>
      </c>
    </row>
    <row r="50" spans="1:10" x14ac:dyDescent="0.3">
      <c r="A50" s="67">
        <v>1</v>
      </c>
      <c r="B50" s="87">
        <v>6.8025918570000004</v>
      </c>
      <c r="C50" s="87">
        <v>1</v>
      </c>
      <c r="D50" s="87">
        <v>2.7492183288400001</v>
      </c>
      <c r="E50" s="81">
        <f t="shared" si="1"/>
        <v>2190</v>
      </c>
      <c r="F50" s="70">
        <v>1</v>
      </c>
      <c r="G50" s="81" t="s">
        <v>410</v>
      </c>
      <c r="H50" s="81" t="s">
        <v>408</v>
      </c>
      <c r="I50" s="81">
        <v>1958</v>
      </c>
      <c r="J50" s="81" t="s">
        <v>409</v>
      </c>
    </row>
    <row r="51" spans="1:10" x14ac:dyDescent="0.3">
      <c r="A51" s="67">
        <v>1</v>
      </c>
      <c r="B51" s="87">
        <v>6.8025918570000004</v>
      </c>
      <c r="C51" s="87">
        <v>1</v>
      </c>
      <c r="D51" s="87">
        <v>2.7492183288400001</v>
      </c>
      <c r="E51" s="81">
        <f t="shared" si="1"/>
        <v>2190</v>
      </c>
      <c r="F51" s="70">
        <v>1</v>
      </c>
      <c r="G51" s="81" t="s">
        <v>410</v>
      </c>
      <c r="H51" s="81" t="s">
        <v>408</v>
      </c>
      <c r="I51" s="81">
        <v>1958</v>
      </c>
      <c r="J51" s="81" t="s">
        <v>409</v>
      </c>
    </row>
    <row r="52" spans="1:10" x14ac:dyDescent="0.3">
      <c r="A52" s="67">
        <v>1</v>
      </c>
      <c r="B52" s="87">
        <v>7.1116399489299997</v>
      </c>
      <c r="C52" s="87">
        <v>1</v>
      </c>
      <c r="D52" s="87">
        <v>2.7497630869599998</v>
      </c>
      <c r="E52" s="81">
        <f t="shared" si="1"/>
        <v>2190</v>
      </c>
      <c r="F52" s="70">
        <v>1</v>
      </c>
      <c r="G52" s="81" t="s">
        <v>410</v>
      </c>
      <c r="H52" s="81" t="s">
        <v>408</v>
      </c>
      <c r="I52" s="81">
        <v>1958</v>
      </c>
      <c r="J52" s="81" t="s">
        <v>409</v>
      </c>
    </row>
    <row r="53" spans="1:10" x14ac:dyDescent="0.3">
      <c r="A53" s="67">
        <v>1</v>
      </c>
      <c r="B53" s="87">
        <v>5.9010781671199997</v>
      </c>
      <c r="C53" s="87">
        <v>1</v>
      </c>
      <c r="D53" s="87">
        <v>2.7540190097899999</v>
      </c>
      <c r="E53" s="81">
        <f t="shared" si="1"/>
        <v>2190</v>
      </c>
      <c r="F53" s="70">
        <v>1</v>
      </c>
      <c r="G53" s="81" t="s">
        <v>410</v>
      </c>
      <c r="H53" s="81" t="s">
        <v>408</v>
      </c>
      <c r="I53" s="81">
        <v>1958</v>
      </c>
      <c r="J53" s="81" t="s">
        <v>409</v>
      </c>
    </row>
    <row r="54" spans="1:10" x14ac:dyDescent="0.3">
      <c r="A54" s="67">
        <v>1</v>
      </c>
      <c r="B54" s="87">
        <v>24.805136898899999</v>
      </c>
      <c r="C54" s="87">
        <v>1</v>
      </c>
      <c r="D54" s="87">
        <v>2.7553922542199998</v>
      </c>
      <c r="E54" s="81">
        <f t="shared" si="1"/>
        <v>2190</v>
      </c>
      <c r="F54" s="70">
        <v>1</v>
      </c>
      <c r="G54" s="81" t="s">
        <v>410</v>
      </c>
      <c r="H54" s="81" t="s">
        <v>408</v>
      </c>
      <c r="I54" s="81">
        <v>1958</v>
      </c>
      <c r="J54" s="81" t="s">
        <v>409</v>
      </c>
    </row>
    <row r="55" spans="1:10" x14ac:dyDescent="0.3">
      <c r="A55" s="67">
        <v>1</v>
      </c>
      <c r="B55" s="87">
        <v>7.8326287416699998</v>
      </c>
      <c r="C55" s="87">
        <v>1</v>
      </c>
      <c r="D55" s="87">
        <v>2.7574237480499999</v>
      </c>
      <c r="E55" s="81">
        <f t="shared" si="1"/>
        <v>2190</v>
      </c>
      <c r="F55" s="70">
        <v>1</v>
      </c>
      <c r="G55" s="81" t="s">
        <v>410</v>
      </c>
      <c r="H55" s="81" t="s">
        <v>408</v>
      </c>
      <c r="I55" s="81">
        <v>1958</v>
      </c>
      <c r="J55" s="81" t="s">
        <v>409</v>
      </c>
    </row>
    <row r="56" spans="1:10" x14ac:dyDescent="0.3">
      <c r="A56" s="67">
        <v>1</v>
      </c>
      <c r="B56" s="87">
        <v>8.1416768335899992</v>
      </c>
      <c r="C56" s="87">
        <v>1</v>
      </c>
      <c r="D56" s="87">
        <v>2.7579685061700001</v>
      </c>
      <c r="E56" s="81">
        <f t="shared" si="1"/>
        <v>2190</v>
      </c>
      <c r="F56" s="70">
        <v>1</v>
      </c>
      <c r="G56" s="81" t="s">
        <v>410</v>
      </c>
      <c r="H56" s="81" t="s">
        <v>408</v>
      </c>
      <c r="I56" s="81">
        <v>1958</v>
      </c>
      <c r="J56" s="81" t="s">
        <v>409</v>
      </c>
    </row>
    <row r="57" spans="1:10" x14ac:dyDescent="0.3">
      <c r="A57" s="67">
        <v>1</v>
      </c>
      <c r="B57" s="87">
        <v>8.8370350404300009</v>
      </c>
      <c r="C57" s="87">
        <v>1</v>
      </c>
      <c r="D57" s="87">
        <v>2.7591942119400001</v>
      </c>
      <c r="E57" s="81">
        <f t="shared" si="1"/>
        <v>2190</v>
      </c>
      <c r="F57" s="70">
        <v>1</v>
      </c>
      <c r="G57" s="81" t="s">
        <v>410</v>
      </c>
      <c r="H57" s="81" t="s">
        <v>408</v>
      </c>
      <c r="I57" s="81">
        <v>1958</v>
      </c>
      <c r="J57" s="81" t="s">
        <v>409</v>
      </c>
    </row>
    <row r="58" spans="1:10" x14ac:dyDescent="0.3">
      <c r="A58" s="67">
        <v>1</v>
      </c>
      <c r="B58" s="87">
        <v>17.769479358800002</v>
      </c>
      <c r="C58" s="87">
        <v>1</v>
      </c>
      <c r="D58" s="87">
        <v>2.9921918002600001</v>
      </c>
      <c r="E58" s="81">
        <f t="shared" si="1"/>
        <v>2190</v>
      </c>
      <c r="F58" s="70">
        <v>1</v>
      </c>
      <c r="G58" s="81" t="s">
        <v>410</v>
      </c>
      <c r="H58" s="81" t="s">
        <v>408</v>
      </c>
      <c r="I58" s="81">
        <v>1958</v>
      </c>
      <c r="J58" s="81" t="s">
        <v>409</v>
      </c>
    </row>
    <row r="59" spans="1:10" x14ac:dyDescent="0.3">
      <c r="A59" s="67">
        <v>1</v>
      </c>
      <c r="B59" s="87">
        <v>3.1363895587999999</v>
      </c>
      <c r="C59" s="87">
        <v>1</v>
      </c>
      <c r="D59" s="87">
        <v>3.2155993758000001</v>
      </c>
      <c r="E59" s="81">
        <f t="shared" si="1"/>
        <v>2190</v>
      </c>
      <c r="F59" s="70">
        <v>1</v>
      </c>
      <c r="G59" s="81" t="s">
        <v>410</v>
      </c>
      <c r="H59" s="81" t="s">
        <v>408</v>
      </c>
      <c r="I59" s="81">
        <v>1958</v>
      </c>
      <c r="J59" s="81" t="s">
        <v>409</v>
      </c>
    </row>
    <row r="60" spans="1:10" x14ac:dyDescent="0.3">
      <c r="A60" s="67">
        <v>1</v>
      </c>
      <c r="B60" s="87">
        <v>8.5959923393400004</v>
      </c>
      <c r="C60" s="87">
        <v>1</v>
      </c>
      <c r="D60" s="87">
        <v>3.2380025535499999</v>
      </c>
      <c r="E60" s="81">
        <f t="shared" si="1"/>
        <v>2190</v>
      </c>
      <c r="F60" s="70">
        <v>1</v>
      </c>
      <c r="G60" s="81" t="s">
        <v>410</v>
      </c>
      <c r="H60" s="81" t="s">
        <v>408</v>
      </c>
      <c r="I60" s="81">
        <v>1958</v>
      </c>
      <c r="J60" s="81" t="s">
        <v>409</v>
      </c>
    </row>
    <row r="61" spans="1:10" x14ac:dyDescent="0.3">
      <c r="A61" s="67">
        <v>1</v>
      </c>
      <c r="B61" s="87">
        <v>19.949066534300002</v>
      </c>
      <c r="C61" s="87">
        <v>1</v>
      </c>
      <c r="D61" s="87">
        <v>3.4880465314200002</v>
      </c>
      <c r="E61" s="81">
        <f t="shared" si="1"/>
        <v>2190</v>
      </c>
      <c r="F61" s="70">
        <v>1</v>
      </c>
      <c r="G61" s="81" t="s">
        <v>410</v>
      </c>
      <c r="H61" s="81" t="s">
        <v>408</v>
      </c>
      <c r="I61" s="81">
        <v>1958</v>
      </c>
      <c r="J61" s="81" t="s">
        <v>409</v>
      </c>
    </row>
    <row r="62" spans="1:10" x14ac:dyDescent="0.3">
      <c r="A62" s="67">
        <v>1</v>
      </c>
      <c r="B62" s="87">
        <v>5.5263285572400003</v>
      </c>
      <c r="C62" s="87">
        <v>1</v>
      </c>
      <c r="D62" s="87">
        <v>3.4881827209499998</v>
      </c>
      <c r="E62" s="81">
        <f t="shared" si="1"/>
        <v>2190</v>
      </c>
      <c r="F62" s="70">
        <v>1</v>
      </c>
      <c r="G62" s="81" t="s">
        <v>410</v>
      </c>
      <c r="H62" s="81" t="s">
        <v>408</v>
      </c>
      <c r="I62" s="81">
        <v>1958</v>
      </c>
      <c r="J62" s="81" t="s">
        <v>409</v>
      </c>
    </row>
    <row r="63" spans="1:10" x14ac:dyDescent="0.3">
      <c r="A63" s="67">
        <v>1</v>
      </c>
      <c r="B63" s="87">
        <v>13.8708738828</v>
      </c>
      <c r="C63" s="87">
        <v>1</v>
      </c>
      <c r="D63" s="87">
        <v>3.4901120726300001</v>
      </c>
      <c r="E63" s="81">
        <f t="shared" si="1"/>
        <v>2190</v>
      </c>
      <c r="F63" s="70">
        <v>1</v>
      </c>
      <c r="G63" s="81" t="s">
        <v>410</v>
      </c>
      <c r="H63" s="81" t="s">
        <v>408</v>
      </c>
      <c r="I63" s="81">
        <v>1958</v>
      </c>
      <c r="J63" s="81" t="s">
        <v>409</v>
      </c>
    </row>
    <row r="64" spans="1:10" x14ac:dyDescent="0.3">
      <c r="A64" s="67">
        <v>1</v>
      </c>
      <c r="B64" s="87">
        <v>10.522729465199999</v>
      </c>
      <c r="C64" s="87">
        <v>1</v>
      </c>
      <c r="D64" s="87">
        <v>3.4906000851200001</v>
      </c>
      <c r="E64" s="81">
        <f t="shared" si="1"/>
        <v>2190</v>
      </c>
      <c r="F64" s="70">
        <v>1</v>
      </c>
      <c r="G64" s="81" t="s">
        <v>410</v>
      </c>
      <c r="H64" s="81" t="s">
        <v>408</v>
      </c>
      <c r="I64" s="81">
        <v>1958</v>
      </c>
      <c r="J64" s="81" t="s">
        <v>409</v>
      </c>
    </row>
    <row r="65" spans="1:10" x14ac:dyDescent="0.3">
      <c r="A65" s="67">
        <v>1</v>
      </c>
      <c r="B65" s="87">
        <v>18.712750744800001</v>
      </c>
      <c r="C65" s="87">
        <v>1</v>
      </c>
      <c r="D65" s="87">
        <v>3.4922570577399998</v>
      </c>
      <c r="E65" s="81">
        <f t="shared" si="1"/>
        <v>2190</v>
      </c>
      <c r="F65" s="70">
        <v>1</v>
      </c>
      <c r="G65" s="81" t="s">
        <v>410</v>
      </c>
      <c r="H65" s="81" t="s">
        <v>408</v>
      </c>
      <c r="I65" s="81">
        <v>1958</v>
      </c>
      <c r="J65" s="81" t="s">
        <v>409</v>
      </c>
    </row>
    <row r="66" spans="1:10" x14ac:dyDescent="0.3">
      <c r="A66" s="67">
        <v>1</v>
      </c>
      <c r="B66" s="87">
        <v>4.2127507447900001</v>
      </c>
      <c r="C66" s="87">
        <v>1</v>
      </c>
      <c r="D66" s="87">
        <v>3.4922570577399998</v>
      </c>
      <c r="E66" s="81">
        <f t="shared" si="1"/>
        <v>2190</v>
      </c>
      <c r="F66" s="70">
        <v>1</v>
      </c>
      <c r="G66" s="81" t="s">
        <v>410</v>
      </c>
      <c r="H66" s="81" t="s">
        <v>408</v>
      </c>
      <c r="I66" s="81">
        <v>1958</v>
      </c>
      <c r="J66" s="81" t="s">
        <v>409</v>
      </c>
    </row>
    <row r="67" spans="1:10" x14ac:dyDescent="0.3">
      <c r="A67" s="67">
        <v>1</v>
      </c>
      <c r="B67" s="87">
        <v>38.337921690999998</v>
      </c>
      <c r="C67" s="87">
        <v>1</v>
      </c>
      <c r="D67" s="87">
        <v>3.4949014044500002</v>
      </c>
      <c r="E67" s="81">
        <f t="shared" si="1"/>
        <v>2190</v>
      </c>
      <c r="F67" s="70">
        <v>1</v>
      </c>
      <c r="G67" s="81" t="s">
        <v>410</v>
      </c>
      <c r="H67" s="81" t="s">
        <v>408</v>
      </c>
      <c r="I67" s="81">
        <v>1958</v>
      </c>
      <c r="J67" s="81" t="s">
        <v>409</v>
      </c>
    </row>
    <row r="68" spans="1:10" x14ac:dyDescent="0.3">
      <c r="A68" s="67">
        <v>1</v>
      </c>
      <c r="B68" s="87">
        <v>5.83525322741</v>
      </c>
      <c r="C68" s="87">
        <v>1</v>
      </c>
      <c r="D68" s="87">
        <v>3.4951170378800001</v>
      </c>
      <c r="E68" s="81">
        <f t="shared" si="1"/>
        <v>2190</v>
      </c>
      <c r="F68" s="70">
        <v>1</v>
      </c>
      <c r="G68" s="81" t="s">
        <v>410</v>
      </c>
      <c r="H68" s="81" t="s">
        <v>408</v>
      </c>
      <c r="I68" s="81">
        <v>1958</v>
      </c>
      <c r="J68" s="81" t="s">
        <v>409</v>
      </c>
    </row>
    <row r="69" spans="1:10" x14ac:dyDescent="0.3">
      <c r="A69" s="67">
        <v>1</v>
      </c>
      <c r="B69" s="87">
        <v>6.2215633423199996</v>
      </c>
      <c r="C69" s="87">
        <v>1</v>
      </c>
      <c r="D69" s="87">
        <v>3.4957979855299999</v>
      </c>
      <c r="E69" s="81">
        <f t="shared" si="1"/>
        <v>2190</v>
      </c>
      <c r="F69" s="70">
        <v>1</v>
      </c>
      <c r="G69" s="81" t="s">
        <v>410</v>
      </c>
      <c r="H69" s="81" t="s">
        <v>408</v>
      </c>
      <c r="I69" s="81">
        <v>1958</v>
      </c>
      <c r="J69" s="81" t="s">
        <v>409</v>
      </c>
    </row>
    <row r="70" spans="1:10" x14ac:dyDescent="0.3">
      <c r="A70" s="67">
        <v>1</v>
      </c>
      <c r="B70" s="87">
        <v>11.011932188999999</v>
      </c>
      <c r="C70" s="87">
        <v>1</v>
      </c>
      <c r="D70" s="87">
        <v>3.49785217761</v>
      </c>
      <c r="E70" s="81">
        <f t="shared" si="1"/>
        <v>2190</v>
      </c>
      <c r="F70" s="70">
        <v>1</v>
      </c>
      <c r="G70" s="81" t="s">
        <v>410</v>
      </c>
      <c r="H70" s="81" t="s">
        <v>408</v>
      </c>
      <c r="I70" s="81">
        <v>1958</v>
      </c>
      <c r="J70" s="81" t="s">
        <v>409</v>
      </c>
    </row>
    <row r="71" spans="1:10" x14ac:dyDescent="0.3">
      <c r="A71" s="67">
        <v>1</v>
      </c>
      <c r="B71" s="87">
        <v>3.0793275641900002</v>
      </c>
      <c r="C71" s="87">
        <v>1</v>
      </c>
      <c r="D71" s="87">
        <v>3.5030387289</v>
      </c>
      <c r="E71" s="81">
        <f t="shared" si="1"/>
        <v>2190</v>
      </c>
      <c r="F71" s="70">
        <v>1</v>
      </c>
      <c r="G71" s="81" t="s">
        <v>410</v>
      </c>
      <c r="H71" s="81" t="s">
        <v>408</v>
      </c>
      <c r="I71" s="81">
        <v>1958</v>
      </c>
      <c r="J71" s="81" t="s">
        <v>409</v>
      </c>
    </row>
    <row r="72" spans="1:10" x14ac:dyDescent="0.3">
      <c r="A72" s="67">
        <v>1</v>
      </c>
      <c r="B72" s="87">
        <v>9.7968038019599994</v>
      </c>
      <c r="C72" s="87">
        <v>1</v>
      </c>
      <c r="D72" s="87">
        <v>3.7385217761399998</v>
      </c>
      <c r="E72" s="81">
        <f t="shared" si="1"/>
        <v>2190</v>
      </c>
      <c r="F72" s="70">
        <v>1</v>
      </c>
      <c r="G72" s="81" t="s">
        <v>410</v>
      </c>
      <c r="H72" s="81" t="s">
        <v>408</v>
      </c>
      <c r="I72" s="81">
        <v>1958</v>
      </c>
      <c r="J72" s="81" t="s">
        <v>409</v>
      </c>
    </row>
    <row r="73" spans="1:10" x14ac:dyDescent="0.3">
      <c r="A73" s="67">
        <v>1</v>
      </c>
      <c r="B73" s="87">
        <v>7.1440175911499999</v>
      </c>
      <c r="C73" s="87">
        <v>1</v>
      </c>
      <c r="D73" s="87">
        <v>3.7402354943999998</v>
      </c>
      <c r="E73" s="81">
        <f t="shared" si="1"/>
        <v>2190</v>
      </c>
      <c r="F73" s="70">
        <v>1</v>
      </c>
      <c r="G73" s="81" t="s">
        <v>410</v>
      </c>
      <c r="H73" s="81" t="s">
        <v>408</v>
      </c>
      <c r="I73" s="81">
        <v>1958</v>
      </c>
      <c r="J73" s="81" t="s">
        <v>409</v>
      </c>
    </row>
    <row r="74" spans="1:10" x14ac:dyDescent="0.3">
      <c r="A74" s="67">
        <v>1</v>
      </c>
      <c r="B74" s="87">
        <v>4.0276592424500004</v>
      </c>
      <c r="C74" s="87">
        <v>1</v>
      </c>
      <c r="D74" s="87">
        <v>3.7411320754699999</v>
      </c>
      <c r="E74" s="81">
        <f t="shared" ref="E74:E98" si="2">6*365</f>
        <v>2190</v>
      </c>
      <c r="F74" s="70">
        <v>1</v>
      </c>
      <c r="G74" s="81" t="s">
        <v>410</v>
      </c>
      <c r="H74" s="81" t="s">
        <v>408</v>
      </c>
      <c r="I74" s="81">
        <v>1958</v>
      </c>
      <c r="J74" s="81" t="s">
        <v>409</v>
      </c>
    </row>
    <row r="75" spans="1:10" x14ac:dyDescent="0.3">
      <c r="A75" s="67">
        <v>1</v>
      </c>
      <c r="B75" s="87">
        <v>1.7869371542100001</v>
      </c>
      <c r="C75" s="87">
        <v>1</v>
      </c>
      <c r="D75" s="87">
        <v>3.7435721378900002</v>
      </c>
      <c r="E75" s="81">
        <f t="shared" si="2"/>
        <v>2190</v>
      </c>
      <c r="F75" s="70">
        <v>1</v>
      </c>
      <c r="G75" s="81" t="s">
        <v>410</v>
      </c>
      <c r="H75" s="81" t="s">
        <v>408</v>
      </c>
      <c r="I75" s="81">
        <v>1958</v>
      </c>
      <c r="J75" s="81" t="s">
        <v>409</v>
      </c>
    </row>
    <row r="76" spans="1:10" x14ac:dyDescent="0.3">
      <c r="A76" s="67">
        <v>1</v>
      </c>
      <c r="B76" s="87">
        <v>12.784268690599999</v>
      </c>
      <c r="C76" s="87">
        <v>1</v>
      </c>
      <c r="D76" s="87">
        <v>3.7437877713200001</v>
      </c>
      <c r="E76" s="81">
        <f t="shared" si="2"/>
        <v>2190</v>
      </c>
      <c r="F76" s="70">
        <v>1</v>
      </c>
      <c r="G76" s="81" t="s">
        <v>410</v>
      </c>
      <c r="H76" s="81" t="s">
        <v>408</v>
      </c>
      <c r="I76" s="81">
        <v>1958</v>
      </c>
      <c r="J76" s="81" t="s">
        <v>409</v>
      </c>
    </row>
    <row r="77" spans="1:10" x14ac:dyDescent="0.3">
      <c r="A77" s="67">
        <v>1</v>
      </c>
      <c r="B77" s="87">
        <v>10.8525946943</v>
      </c>
      <c r="C77" s="87">
        <v>1</v>
      </c>
      <c r="D77" s="87">
        <v>3.7467725918600001</v>
      </c>
      <c r="E77" s="81">
        <f t="shared" si="2"/>
        <v>2190</v>
      </c>
      <c r="F77" s="70">
        <v>1</v>
      </c>
      <c r="G77" s="81" t="s">
        <v>410</v>
      </c>
      <c r="H77" s="81" t="s">
        <v>408</v>
      </c>
      <c r="I77" s="81">
        <v>1958</v>
      </c>
      <c r="J77" s="81" t="s">
        <v>409</v>
      </c>
    </row>
    <row r="78" spans="1:10" x14ac:dyDescent="0.3">
      <c r="A78" s="67">
        <v>1</v>
      </c>
      <c r="B78" s="87">
        <v>14.8188352958</v>
      </c>
      <c r="C78" s="87">
        <v>1</v>
      </c>
      <c r="D78" s="87">
        <v>3.7473740956200001</v>
      </c>
      <c r="E78" s="81">
        <f t="shared" si="2"/>
        <v>2190</v>
      </c>
      <c r="F78" s="70">
        <v>1</v>
      </c>
      <c r="G78" s="81" t="s">
        <v>410</v>
      </c>
      <c r="H78" s="81" t="s">
        <v>408</v>
      </c>
      <c r="I78" s="81">
        <v>1958</v>
      </c>
      <c r="J78" s="81" t="s">
        <v>409</v>
      </c>
    </row>
    <row r="79" spans="1:10" x14ac:dyDescent="0.3">
      <c r="A79" s="67">
        <v>1</v>
      </c>
      <c r="B79" s="87">
        <v>7.9937764221899998</v>
      </c>
      <c r="C79" s="87">
        <v>1</v>
      </c>
      <c r="D79" s="87">
        <v>3.74812313803</v>
      </c>
      <c r="E79" s="81">
        <f t="shared" si="2"/>
        <v>2190</v>
      </c>
      <c r="F79" s="70">
        <v>1</v>
      </c>
      <c r="G79" s="81" t="s">
        <v>410</v>
      </c>
      <c r="H79" s="81" t="s">
        <v>408</v>
      </c>
      <c r="I79" s="81">
        <v>1958</v>
      </c>
      <c r="J79" s="81" t="s">
        <v>409</v>
      </c>
    </row>
    <row r="80" spans="1:10" x14ac:dyDescent="0.3">
      <c r="A80" s="67">
        <v>1</v>
      </c>
      <c r="B80" s="87">
        <v>5.9075783799100003</v>
      </c>
      <c r="C80" s="87">
        <v>1</v>
      </c>
      <c r="D80" s="87">
        <v>3.7508355795099999</v>
      </c>
      <c r="E80" s="81">
        <f t="shared" si="2"/>
        <v>2190</v>
      </c>
      <c r="F80" s="70">
        <v>1</v>
      </c>
      <c r="G80" s="81" t="s">
        <v>410</v>
      </c>
      <c r="H80" s="81" t="s">
        <v>408</v>
      </c>
      <c r="I80" s="81">
        <v>1958</v>
      </c>
      <c r="J80" s="81" t="s">
        <v>409</v>
      </c>
    </row>
    <row r="81" spans="1:10" x14ac:dyDescent="0.3">
      <c r="A81" s="67">
        <v>1</v>
      </c>
      <c r="B81" s="87">
        <v>14.7881444176</v>
      </c>
      <c r="C81" s="87">
        <v>1</v>
      </c>
      <c r="D81" s="87">
        <v>4.0029110512099999</v>
      </c>
      <c r="E81" s="81">
        <f t="shared" si="2"/>
        <v>2190</v>
      </c>
      <c r="F81" s="70">
        <v>1</v>
      </c>
      <c r="G81" s="81" t="s">
        <v>410</v>
      </c>
      <c r="H81" s="81" t="s">
        <v>408</v>
      </c>
      <c r="I81" s="81">
        <v>1958</v>
      </c>
      <c r="J81" s="81" t="s">
        <v>409</v>
      </c>
    </row>
    <row r="82" spans="1:10" x14ac:dyDescent="0.3">
      <c r="A82" s="67">
        <v>1</v>
      </c>
      <c r="B82" s="87">
        <v>8.8086480351799992</v>
      </c>
      <c r="C82" s="87">
        <v>1</v>
      </c>
      <c r="D82" s="87">
        <v>4.22879273656</v>
      </c>
      <c r="E82" s="81">
        <f t="shared" si="2"/>
        <v>2190</v>
      </c>
      <c r="F82" s="70">
        <v>1</v>
      </c>
      <c r="G82" s="81" t="s">
        <v>410</v>
      </c>
      <c r="H82" s="81" t="s">
        <v>408</v>
      </c>
      <c r="I82" s="81">
        <v>1958</v>
      </c>
      <c r="J82" s="81" t="s">
        <v>409</v>
      </c>
    </row>
    <row r="83" spans="1:10" x14ac:dyDescent="0.3">
      <c r="A83" s="67">
        <v>1</v>
      </c>
      <c r="B83" s="87">
        <v>2.9879954603500001</v>
      </c>
      <c r="C83" s="87">
        <v>1</v>
      </c>
      <c r="D83" s="87">
        <v>4.2313122428699996</v>
      </c>
      <c r="E83" s="81">
        <f t="shared" si="2"/>
        <v>2190</v>
      </c>
      <c r="F83" s="70">
        <v>1</v>
      </c>
      <c r="G83" s="81" t="s">
        <v>410</v>
      </c>
      <c r="H83" s="81" t="s">
        <v>408</v>
      </c>
      <c r="I83" s="81">
        <v>1958</v>
      </c>
      <c r="J83" s="81" t="s">
        <v>409</v>
      </c>
    </row>
    <row r="84" spans="1:10" x14ac:dyDescent="0.3">
      <c r="A84" s="67">
        <v>1</v>
      </c>
      <c r="B84" s="87">
        <v>14.7837012342</v>
      </c>
      <c r="C84" s="87">
        <v>1</v>
      </c>
      <c r="D84" s="87">
        <v>4.23293516811</v>
      </c>
      <c r="E84" s="81">
        <f t="shared" si="2"/>
        <v>2190</v>
      </c>
      <c r="F84" s="70">
        <v>1</v>
      </c>
      <c r="G84" s="81" t="s">
        <v>410</v>
      </c>
      <c r="H84" s="81" t="s">
        <v>408</v>
      </c>
      <c r="I84" s="81">
        <v>1958</v>
      </c>
      <c r="J84" s="81" t="s">
        <v>409</v>
      </c>
    </row>
    <row r="85" spans="1:10" x14ac:dyDescent="0.3">
      <c r="A85" s="67">
        <v>1</v>
      </c>
      <c r="B85" s="87">
        <v>8.8295885941299996</v>
      </c>
      <c r="C85" s="87">
        <v>1</v>
      </c>
      <c r="D85" s="87">
        <v>4.4780309263699998</v>
      </c>
      <c r="E85" s="81">
        <f t="shared" si="2"/>
        <v>2190</v>
      </c>
      <c r="F85" s="70">
        <v>1</v>
      </c>
      <c r="G85" s="81" t="s">
        <v>410</v>
      </c>
      <c r="H85" s="81" t="s">
        <v>408</v>
      </c>
      <c r="I85" s="81">
        <v>1958</v>
      </c>
      <c r="J85" s="81" t="s">
        <v>409</v>
      </c>
    </row>
    <row r="86" spans="1:10" x14ac:dyDescent="0.3">
      <c r="A86" s="67">
        <v>1</v>
      </c>
      <c r="B86" s="87">
        <v>2.0817917435100002</v>
      </c>
      <c r="C86" s="87">
        <v>1</v>
      </c>
      <c r="D86" s="87">
        <v>4.4789161583199997</v>
      </c>
      <c r="E86" s="81">
        <f t="shared" si="2"/>
        <v>2190</v>
      </c>
      <c r="F86" s="70">
        <v>1</v>
      </c>
      <c r="G86" s="81" t="s">
        <v>410</v>
      </c>
      <c r="H86" s="81" t="s">
        <v>408</v>
      </c>
      <c r="I86" s="81">
        <v>1958</v>
      </c>
      <c r="J86" s="81" t="s">
        <v>409</v>
      </c>
    </row>
    <row r="87" spans="1:10" x14ac:dyDescent="0.3">
      <c r="A87" s="67">
        <v>1</v>
      </c>
      <c r="B87" s="87">
        <v>2.3135778124600002</v>
      </c>
      <c r="C87" s="87">
        <v>1</v>
      </c>
      <c r="D87" s="87">
        <v>4.4793247269099998</v>
      </c>
      <c r="E87" s="81">
        <f t="shared" si="2"/>
        <v>2190</v>
      </c>
      <c r="F87" s="70">
        <v>1</v>
      </c>
      <c r="G87" s="81" t="s">
        <v>410</v>
      </c>
      <c r="H87" s="81" t="s">
        <v>408</v>
      </c>
      <c r="I87" s="81">
        <v>1958</v>
      </c>
      <c r="J87" s="81" t="s">
        <v>409</v>
      </c>
    </row>
    <row r="88" spans="1:10" x14ac:dyDescent="0.3">
      <c r="A88" s="67">
        <v>1</v>
      </c>
      <c r="B88" s="87">
        <v>21.758470705099999</v>
      </c>
      <c r="C88" s="87">
        <v>1</v>
      </c>
      <c r="D88" s="87">
        <v>4.4816512980600001</v>
      </c>
      <c r="E88" s="81">
        <f t="shared" si="2"/>
        <v>2190</v>
      </c>
      <c r="F88" s="70">
        <v>1</v>
      </c>
      <c r="G88" s="81" t="s">
        <v>410</v>
      </c>
      <c r="H88" s="81" t="s">
        <v>408</v>
      </c>
      <c r="I88" s="81">
        <v>1958</v>
      </c>
      <c r="J88" s="81" t="s">
        <v>409</v>
      </c>
    </row>
    <row r="89" spans="1:10" x14ac:dyDescent="0.3">
      <c r="A89" s="67">
        <v>1</v>
      </c>
      <c r="B89" s="87">
        <v>1.74686622216</v>
      </c>
      <c r="C89" s="87">
        <v>1</v>
      </c>
      <c r="D89" s="87">
        <v>4.4847155624899999</v>
      </c>
      <c r="E89" s="81">
        <f t="shared" si="2"/>
        <v>2190</v>
      </c>
      <c r="F89" s="70">
        <v>1</v>
      </c>
      <c r="G89" s="81" t="s">
        <v>410</v>
      </c>
      <c r="H89" s="81" t="s">
        <v>408</v>
      </c>
      <c r="I89" s="81">
        <v>1958</v>
      </c>
      <c r="J89" s="81" t="s">
        <v>409</v>
      </c>
    </row>
    <row r="90" spans="1:10" x14ac:dyDescent="0.3">
      <c r="A90" s="67">
        <v>1</v>
      </c>
      <c r="B90" s="87">
        <v>7.1810852603199997</v>
      </c>
      <c r="C90" s="87">
        <v>1</v>
      </c>
      <c r="D90" s="87">
        <v>4.4879046673299996</v>
      </c>
      <c r="E90" s="81">
        <f t="shared" si="2"/>
        <v>2190</v>
      </c>
      <c r="F90" s="70">
        <v>1</v>
      </c>
      <c r="G90" s="81" t="s">
        <v>410</v>
      </c>
      <c r="H90" s="81" t="s">
        <v>408</v>
      </c>
      <c r="I90" s="81">
        <v>1958</v>
      </c>
      <c r="J90" s="81" t="s">
        <v>409</v>
      </c>
    </row>
    <row r="91" spans="1:10" x14ac:dyDescent="0.3">
      <c r="A91" s="67">
        <v>1</v>
      </c>
      <c r="B91" s="87">
        <v>6.84615973897</v>
      </c>
      <c r="C91" s="87">
        <v>1</v>
      </c>
      <c r="D91" s="87">
        <v>4.4937040714999998</v>
      </c>
      <c r="E91" s="81">
        <f t="shared" si="2"/>
        <v>2190</v>
      </c>
      <c r="F91" s="70">
        <v>1</v>
      </c>
      <c r="G91" s="81" t="s">
        <v>410</v>
      </c>
      <c r="H91" s="81" t="s">
        <v>408</v>
      </c>
      <c r="I91" s="81">
        <v>1958</v>
      </c>
      <c r="J91" s="81" t="s">
        <v>409</v>
      </c>
    </row>
    <row r="92" spans="1:10" x14ac:dyDescent="0.3">
      <c r="A92" s="67">
        <v>1</v>
      </c>
      <c r="B92" s="87">
        <v>11.842560646900001</v>
      </c>
      <c r="C92" s="87">
        <v>1</v>
      </c>
      <c r="D92" s="87">
        <v>4.4961214356600001</v>
      </c>
      <c r="E92" s="81">
        <f t="shared" si="2"/>
        <v>2190</v>
      </c>
      <c r="F92" s="70">
        <v>1</v>
      </c>
      <c r="G92" s="81" t="s">
        <v>410</v>
      </c>
      <c r="H92" s="81" t="s">
        <v>408</v>
      </c>
      <c r="I92" s="81">
        <v>1958</v>
      </c>
      <c r="J92" s="81" t="s">
        <v>409</v>
      </c>
    </row>
    <row r="93" spans="1:10" x14ac:dyDescent="0.3">
      <c r="A93" s="67">
        <v>1</v>
      </c>
      <c r="B93" s="87">
        <v>24.797073343699999</v>
      </c>
      <c r="C93" s="87">
        <v>1</v>
      </c>
      <c r="D93" s="87">
        <v>4.50617676266</v>
      </c>
      <c r="E93" s="81">
        <f t="shared" si="2"/>
        <v>2190</v>
      </c>
      <c r="F93" s="70">
        <v>1</v>
      </c>
      <c r="G93" s="81" t="s">
        <v>410</v>
      </c>
      <c r="H93" s="81" t="s">
        <v>408</v>
      </c>
      <c r="I93" s="81">
        <v>1958</v>
      </c>
      <c r="J93" s="81" t="s">
        <v>409</v>
      </c>
    </row>
    <row r="94" spans="1:10" x14ac:dyDescent="0.3">
      <c r="A94" s="67">
        <v>1</v>
      </c>
      <c r="B94" s="87">
        <v>8.0262774861700006</v>
      </c>
      <c r="C94" s="87">
        <v>1</v>
      </c>
      <c r="D94" s="87">
        <v>4.7322059866600004</v>
      </c>
      <c r="E94" s="81">
        <f t="shared" si="2"/>
        <v>2190</v>
      </c>
      <c r="F94" s="70">
        <v>1</v>
      </c>
      <c r="G94" s="81" t="s">
        <v>410</v>
      </c>
      <c r="H94" s="81" t="s">
        <v>408</v>
      </c>
      <c r="I94" s="81">
        <v>1958</v>
      </c>
      <c r="J94" s="81" t="s">
        <v>409</v>
      </c>
    </row>
    <row r="95" spans="1:10" x14ac:dyDescent="0.3">
      <c r="A95" s="67">
        <v>1</v>
      </c>
      <c r="B95" s="87">
        <v>6.8109022556400003</v>
      </c>
      <c r="C95" s="87">
        <v>1</v>
      </c>
      <c r="D95" s="87">
        <v>4.9856547027899998</v>
      </c>
      <c r="E95" s="81">
        <f t="shared" si="2"/>
        <v>2190</v>
      </c>
      <c r="F95" s="70">
        <v>1</v>
      </c>
      <c r="G95" s="81" t="s">
        <v>410</v>
      </c>
      <c r="H95" s="81" t="s">
        <v>408</v>
      </c>
      <c r="I95" s="81">
        <v>1958</v>
      </c>
      <c r="J95" s="81" t="s">
        <v>409</v>
      </c>
    </row>
    <row r="96" spans="1:10" x14ac:dyDescent="0.3">
      <c r="A96" s="67">
        <v>1</v>
      </c>
      <c r="B96" s="87">
        <v>18.6581160448</v>
      </c>
      <c r="C96" s="87">
        <v>1</v>
      </c>
      <c r="D96" s="87">
        <v>4.9873684210500002</v>
      </c>
      <c r="E96" s="81">
        <f t="shared" si="2"/>
        <v>2190</v>
      </c>
      <c r="F96" s="70">
        <v>1</v>
      </c>
      <c r="G96" s="81" t="s">
        <v>410</v>
      </c>
      <c r="H96" s="81" t="s">
        <v>408</v>
      </c>
      <c r="I96" s="81">
        <v>1958</v>
      </c>
      <c r="J96" s="81" t="s">
        <v>409</v>
      </c>
    </row>
    <row r="97" spans="1:10" x14ac:dyDescent="0.3">
      <c r="A97" s="67">
        <v>1</v>
      </c>
      <c r="B97" s="87">
        <v>1.89163994893</v>
      </c>
      <c r="C97" s="87">
        <v>1</v>
      </c>
      <c r="D97" s="87">
        <v>4.98976308696</v>
      </c>
      <c r="E97" s="81">
        <f t="shared" si="2"/>
        <v>2190</v>
      </c>
      <c r="F97" s="70">
        <v>1</v>
      </c>
      <c r="G97" s="81" t="s">
        <v>410</v>
      </c>
      <c r="H97" s="81" t="s">
        <v>408</v>
      </c>
      <c r="I97" s="81">
        <v>1958</v>
      </c>
      <c r="J97" s="81" t="s">
        <v>409</v>
      </c>
    </row>
    <row r="98" spans="1:10" x14ac:dyDescent="0.3">
      <c r="A98" s="67">
        <v>1</v>
      </c>
      <c r="B98" s="87">
        <v>6.7805816427899996</v>
      </c>
      <c r="C98" s="87">
        <v>1</v>
      </c>
      <c r="D98" s="87">
        <v>5.2220229819800004</v>
      </c>
      <c r="E98" s="81">
        <f t="shared" si="2"/>
        <v>2190</v>
      </c>
      <c r="F98" s="70">
        <v>1</v>
      </c>
      <c r="G98" s="81" t="s">
        <v>410</v>
      </c>
      <c r="H98" s="81" t="s">
        <v>408</v>
      </c>
      <c r="I98" s="81">
        <v>1958</v>
      </c>
      <c r="J98" s="81" t="s">
        <v>409</v>
      </c>
    </row>
    <row r="132" spans="1:7" s="81" customFormat="1" x14ac:dyDescent="0.3">
      <c r="A132" s="67"/>
      <c r="B132" s="87"/>
      <c r="C132" s="87"/>
      <c r="D132" s="87"/>
      <c r="F132" s="70"/>
      <c r="G132" s="18"/>
    </row>
    <row r="133" spans="1:7" s="81" customFormat="1" x14ac:dyDescent="0.3">
      <c r="A133" s="67"/>
      <c r="B133" s="87"/>
      <c r="C133" s="87"/>
      <c r="D133" s="87"/>
      <c r="F133" s="70"/>
      <c r="G133" s="18"/>
    </row>
    <row r="134" spans="1:7" s="81" customFormat="1" x14ac:dyDescent="0.3">
      <c r="A134" s="67"/>
      <c r="B134" s="87"/>
      <c r="C134" s="87"/>
      <c r="D134" s="87"/>
      <c r="F134" s="70"/>
      <c r="G134" s="18"/>
    </row>
    <row r="135" spans="1:7" s="81" customFormat="1" x14ac:dyDescent="0.3">
      <c r="A135" s="67"/>
      <c r="B135" s="87"/>
      <c r="C135" s="87"/>
      <c r="D135" s="87"/>
      <c r="F135" s="70"/>
      <c r="G135" s="18"/>
    </row>
    <row r="136" spans="1:7" s="81" customFormat="1" x14ac:dyDescent="0.3">
      <c r="A136" s="67"/>
      <c r="B136" s="87"/>
      <c r="C136" s="87"/>
      <c r="D136" s="87"/>
      <c r="F136" s="70"/>
      <c r="G136" s="18"/>
    </row>
    <row r="137" spans="1:7" s="81" customFormat="1" x14ac:dyDescent="0.3">
      <c r="A137" s="67"/>
      <c r="B137" s="87"/>
      <c r="C137" s="87"/>
      <c r="D137" s="87"/>
      <c r="F137" s="70"/>
      <c r="G137" s="18"/>
    </row>
    <row r="347" spans="1:6" s="81" customFormat="1" x14ac:dyDescent="0.3">
      <c r="A347" s="67"/>
      <c r="B347" s="87"/>
      <c r="C347" s="87"/>
      <c r="D347" s="87"/>
      <c r="F347" s="20"/>
    </row>
    <row r="348" spans="1:6" s="81" customFormat="1" x14ac:dyDescent="0.3">
      <c r="A348" s="67"/>
      <c r="B348" s="87"/>
      <c r="C348" s="87"/>
      <c r="D348" s="87"/>
      <c r="F348" s="20"/>
    </row>
    <row r="349" spans="1:6" s="81" customFormat="1" x14ac:dyDescent="0.3">
      <c r="A349" s="67"/>
      <c r="B349" s="87"/>
      <c r="C349" s="87"/>
      <c r="D349" s="87"/>
      <c r="F349" s="20"/>
    </row>
    <row r="350" spans="1:6" s="81" customFormat="1" x14ac:dyDescent="0.3">
      <c r="A350" s="67"/>
      <c r="B350" s="87"/>
      <c r="C350" s="87"/>
      <c r="D350" s="87"/>
      <c r="F350" s="20"/>
    </row>
    <row r="351" spans="1:6" s="81" customFormat="1" x14ac:dyDescent="0.3">
      <c r="A351" s="67"/>
      <c r="B351" s="87"/>
      <c r="C351" s="87"/>
      <c r="D351" s="87"/>
      <c r="F351" s="20"/>
    </row>
    <row r="352" spans="1:6" s="81" customFormat="1" x14ac:dyDescent="0.3">
      <c r="A352" s="67"/>
      <c r="B352" s="87"/>
      <c r="C352" s="87"/>
      <c r="D352" s="87"/>
      <c r="F352" s="20"/>
    </row>
    <row r="353" spans="1:6" s="81" customFormat="1" x14ac:dyDescent="0.3">
      <c r="A353" s="67"/>
      <c r="B353" s="87"/>
      <c r="C353" s="87"/>
      <c r="D353" s="87"/>
      <c r="F353" s="20"/>
    </row>
    <row r="354" spans="1:6" s="81" customFormat="1" x14ac:dyDescent="0.3">
      <c r="A354" s="67"/>
      <c r="B354" s="87"/>
      <c r="C354" s="87"/>
      <c r="D354" s="87"/>
      <c r="F354" s="20"/>
    </row>
    <row r="355" spans="1:6" s="81" customFormat="1" x14ac:dyDescent="0.3">
      <c r="A355" s="67"/>
      <c r="B355" s="87"/>
      <c r="C355" s="87"/>
      <c r="D355" s="87"/>
      <c r="F355" s="20"/>
    </row>
    <row r="356" spans="1:6" s="81" customFormat="1" x14ac:dyDescent="0.3">
      <c r="A356" s="67"/>
      <c r="B356" s="87"/>
      <c r="C356" s="87"/>
      <c r="D356" s="87"/>
      <c r="F356" s="20"/>
    </row>
    <row r="357" spans="1:6" s="81" customFormat="1" x14ac:dyDescent="0.3">
      <c r="A357" s="67"/>
      <c r="B357" s="87"/>
      <c r="C357" s="87"/>
      <c r="D357" s="87"/>
      <c r="F357" s="20"/>
    </row>
    <row r="358" spans="1:6" s="81" customFormat="1" x14ac:dyDescent="0.3">
      <c r="A358" s="67"/>
      <c r="B358" s="87"/>
      <c r="C358" s="87"/>
      <c r="D358" s="87"/>
      <c r="F358" s="20"/>
    </row>
    <row r="359" spans="1:6" s="81" customFormat="1" x14ac:dyDescent="0.3">
      <c r="A359" s="67"/>
      <c r="B359" s="87"/>
      <c r="C359" s="87"/>
      <c r="D359" s="87"/>
      <c r="F359" s="20"/>
    </row>
    <row r="360" spans="1:6" s="81" customFormat="1" x14ac:dyDescent="0.3">
      <c r="A360" s="67"/>
      <c r="B360" s="87"/>
      <c r="C360" s="87"/>
      <c r="D360" s="87"/>
      <c r="F360" s="20"/>
    </row>
    <row r="361" spans="1:6" s="81" customFormat="1" x14ac:dyDescent="0.3">
      <c r="A361" s="67"/>
      <c r="B361" s="87"/>
      <c r="C361" s="87"/>
      <c r="D361" s="87"/>
      <c r="F361" s="20"/>
    </row>
    <row r="362" spans="1:6" s="81" customFormat="1" x14ac:dyDescent="0.3">
      <c r="A362" s="67"/>
      <c r="B362" s="87"/>
      <c r="C362" s="87"/>
      <c r="D362" s="87"/>
      <c r="F362" s="20"/>
    </row>
    <row r="363" spans="1:6" s="81" customFormat="1" x14ac:dyDescent="0.3">
      <c r="A363" s="67"/>
      <c r="B363" s="87"/>
      <c r="C363" s="87"/>
      <c r="D363" s="87"/>
      <c r="F363" s="20"/>
    </row>
    <row r="364" spans="1:6" s="81" customFormat="1" x14ac:dyDescent="0.3">
      <c r="A364" s="67"/>
      <c r="B364" s="87"/>
      <c r="C364" s="87"/>
      <c r="D364" s="87"/>
      <c r="F364" s="20"/>
    </row>
  </sheetData>
  <conditionalFormatting sqref="F1:F1048576">
    <cfRule type="cellIs" dxfId="44" priority="37" operator="equal">
      <formula>3</formula>
    </cfRule>
    <cfRule type="cellIs" dxfId="43" priority="38" operator="equal">
      <formula>2</formula>
    </cfRule>
    <cfRule type="cellIs" dxfId="42" priority="39" operator="equal">
      <formula>1</formula>
    </cfRule>
  </conditionalFormatting>
  <conditionalFormatting sqref="G1:G1048576">
    <cfRule type="expression" dxfId="41" priority="34">
      <formula>$F1=3</formula>
    </cfRule>
    <cfRule type="expression" dxfId="40" priority="35">
      <formula>$F1=2</formula>
    </cfRule>
    <cfRule type="expression" dxfId="39" priority="36">
      <formula>$F1=1</formula>
    </cfRule>
  </conditionalFormatting>
  <conditionalFormatting sqref="G2:G9">
    <cfRule type="expression" dxfId="38" priority="31">
      <formula>#REF!=3</formula>
    </cfRule>
    <cfRule type="expression" dxfId="37" priority="32">
      <formula>#REF!=2</formula>
    </cfRule>
    <cfRule type="expression" dxfId="36" priority="33">
      <formula>#REF!=1</formula>
    </cfRule>
  </conditionalFormatting>
  <conditionalFormatting sqref="G2">
    <cfRule type="expression" dxfId="35" priority="28">
      <formula>$E2=3</formula>
    </cfRule>
    <cfRule type="expression" dxfId="34" priority="29">
      <formula>$E2=2</formula>
    </cfRule>
    <cfRule type="expression" dxfId="33" priority="30">
      <formula>$E2=1</formula>
    </cfRule>
  </conditionalFormatting>
  <conditionalFormatting sqref="G3">
    <cfRule type="expression" dxfId="32" priority="25">
      <formula>$E3=3</formula>
    </cfRule>
    <cfRule type="expression" dxfId="31" priority="26">
      <formula>$E3=2</formula>
    </cfRule>
    <cfRule type="expression" dxfId="30" priority="27">
      <formula>$E3=1</formula>
    </cfRule>
  </conditionalFormatting>
  <conditionalFormatting sqref="G4">
    <cfRule type="expression" dxfId="29" priority="22">
      <formula>$E4=3</formula>
    </cfRule>
    <cfRule type="expression" dxfId="28" priority="23">
      <formula>$E4=2</formula>
    </cfRule>
    <cfRule type="expression" dxfId="27" priority="24">
      <formula>$E4=1</formula>
    </cfRule>
  </conditionalFormatting>
  <conditionalFormatting sqref="G5">
    <cfRule type="expression" dxfId="26" priority="19">
      <formula>$E5=3</formula>
    </cfRule>
    <cfRule type="expression" dxfId="25" priority="20">
      <formula>$E5=2</formula>
    </cfRule>
    <cfRule type="expression" dxfId="24" priority="21">
      <formula>$E5=1</formula>
    </cfRule>
  </conditionalFormatting>
  <conditionalFormatting sqref="G6">
    <cfRule type="expression" dxfId="23" priority="16">
      <formula>$E6=3</formula>
    </cfRule>
    <cfRule type="expression" dxfId="22" priority="17">
      <formula>$E6=2</formula>
    </cfRule>
    <cfRule type="expression" dxfId="21" priority="18">
      <formula>$E6=1</formula>
    </cfRule>
  </conditionalFormatting>
  <conditionalFormatting sqref="G7">
    <cfRule type="expression" dxfId="20" priority="13">
      <formula>$E7=3</formula>
    </cfRule>
    <cfRule type="expression" dxfId="19" priority="14">
      <formula>$E7=2</formula>
    </cfRule>
    <cfRule type="expression" dxfId="18" priority="15">
      <formula>$E7=1</formula>
    </cfRule>
  </conditionalFormatting>
  <conditionalFormatting sqref="G8">
    <cfRule type="expression" dxfId="17" priority="10">
      <formula>$E8=3</formula>
    </cfRule>
    <cfRule type="expression" dxfId="16" priority="11">
      <formula>$E8=2</formula>
    </cfRule>
    <cfRule type="expression" dxfId="15" priority="12">
      <formula>$E8=1</formula>
    </cfRule>
  </conditionalFormatting>
  <conditionalFormatting sqref="G9">
    <cfRule type="expression" dxfId="14" priority="7">
      <formula>$E9=3</formula>
    </cfRule>
    <cfRule type="expression" dxfId="13" priority="8">
      <formula>$E9=2</formula>
    </cfRule>
    <cfRule type="expression" dxfId="12" priority="9">
      <formula>$E9=1</formula>
    </cfRule>
  </conditionalFormatting>
  <conditionalFormatting sqref="G10:G98">
    <cfRule type="expression" dxfId="11" priority="4">
      <formula>#REF!=3</formula>
    </cfRule>
    <cfRule type="expression" dxfId="10" priority="5">
      <formula>#REF!=2</formula>
    </cfRule>
    <cfRule type="expression" dxfId="9" priority="6">
      <formula>#REF!=1</formula>
    </cfRule>
  </conditionalFormatting>
  <conditionalFormatting sqref="G10:G98">
    <cfRule type="expression" dxfId="8" priority="1">
      <formula>$E10=3</formula>
    </cfRule>
    <cfRule type="expression" dxfId="7" priority="2">
      <formula>$E10=2</formula>
    </cfRule>
    <cfRule type="expression" dxfId="6" priority="3">
      <formula>$E10=1</formula>
    </cfRule>
  </conditionalFormatting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65"/>
  <sheetViews>
    <sheetView zoomScale="57" zoomScaleNormal="57" workbookViewId="0">
      <pane ySplit="1" topLeftCell="A959" activePane="bottomLeft" state="frozen"/>
      <selection activeCell="W29" sqref="W29"/>
      <selection pane="bottomLeft" activeCell="J1087" sqref="J1087"/>
    </sheetView>
  </sheetViews>
  <sheetFormatPr defaultRowHeight="20.25" x14ac:dyDescent="0.3"/>
  <cols>
    <col min="1" max="1" width="13.85546875" style="23" customWidth="1"/>
    <col min="2" max="2" width="13.28515625" style="23" customWidth="1"/>
    <col min="3" max="3" width="12.42578125" style="15" customWidth="1"/>
    <col min="4" max="4" width="12.42578125" style="81" customWidth="1"/>
    <col min="5" max="5" width="10.28515625" style="4" customWidth="1"/>
    <col min="6" max="6" width="51" style="15" customWidth="1"/>
    <col min="7" max="7" width="15.42578125" style="15" customWidth="1"/>
    <col min="8" max="8" width="9.28515625" style="15" bestFit="1" customWidth="1"/>
    <col min="9" max="9" width="17.85546875" style="15" customWidth="1"/>
    <col min="10" max="10" width="27.85546875" style="15" customWidth="1"/>
    <col min="11" max="16384" width="9.140625" style="19"/>
  </cols>
  <sheetData>
    <row r="1" spans="1:10" s="60" customFormat="1" ht="69" customHeight="1" x14ac:dyDescent="0.25">
      <c r="A1" s="90" t="s">
        <v>475</v>
      </c>
      <c r="B1" s="90" t="s">
        <v>476</v>
      </c>
      <c r="C1" s="89" t="s">
        <v>0</v>
      </c>
      <c r="D1" s="89" t="s">
        <v>3</v>
      </c>
      <c r="E1" s="43" t="s">
        <v>273</v>
      </c>
      <c r="F1" s="55" t="s">
        <v>13</v>
      </c>
      <c r="G1" s="55" t="s">
        <v>10</v>
      </c>
      <c r="H1" s="55" t="s">
        <v>11</v>
      </c>
      <c r="I1" s="55" t="s">
        <v>14</v>
      </c>
      <c r="J1" s="55" t="s">
        <v>12</v>
      </c>
    </row>
    <row r="2" spans="1:10" x14ac:dyDescent="0.3">
      <c r="A2" s="23">
        <v>0</v>
      </c>
      <c r="B2" s="23">
        <v>0</v>
      </c>
      <c r="C2" s="15">
        <v>9532</v>
      </c>
      <c r="D2" s="81">
        <v>39</v>
      </c>
      <c r="E2" s="4">
        <v>1</v>
      </c>
      <c r="F2" s="15" t="s">
        <v>228</v>
      </c>
      <c r="G2" s="15" t="s">
        <v>226</v>
      </c>
      <c r="H2" s="15">
        <v>1959</v>
      </c>
      <c r="I2" s="15" t="s">
        <v>227</v>
      </c>
      <c r="J2" s="81"/>
    </row>
    <row r="3" spans="1:10" x14ac:dyDescent="0.3">
      <c r="A3" s="23">
        <v>0</v>
      </c>
      <c r="B3" s="23">
        <v>2</v>
      </c>
      <c r="C3" s="15">
        <v>9532</v>
      </c>
      <c r="D3" s="81">
        <v>20</v>
      </c>
      <c r="E3" s="4">
        <v>1</v>
      </c>
      <c r="F3" s="15" t="s">
        <v>228</v>
      </c>
      <c r="G3" s="15" t="s">
        <v>226</v>
      </c>
      <c r="H3" s="15">
        <v>1959</v>
      </c>
      <c r="I3" s="15" t="s">
        <v>227</v>
      </c>
    </row>
    <row r="4" spans="1:10" x14ac:dyDescent="0.3">
      <c r="A4" s="23">
        <v>0</v>
      </c>
      <c r="B4" s="23">
        <v>4</v>
      </c>
      <c r="C4" s="15">
        <v>9532</v>
      </c>
      <c r="D4" s="81">
        <v>7</v>
      </c>
      <c r="E4" s="4">
        <v>1</v>
      </c>
      <c r="F4" s="15" t="s">
        <v>228</v>
      </c>
      <c r="G4" s="15" t="s">
        <v>226</v>
      </c>
      <c r="H4" s="15">
        <v>1959</v>
      </c>
      <c r="I4" s="15" t="s">
        <v>227</v>
      </c>
    </row>
    <row r="5" spans="1:10" x14ac:dyDescent="0.3">
      <c r="A5" s="23">
        <v>0</v>
      </c>
      <c r="B5" s="23">
        <v>6</v>
      </c>
      <c r="C5" s="15">
        <v>9532</v>
      </c>
      <c r="D5" s="81">
        <v>3</v>
      </c>
      <c r="E5" s="4">
        <v>1</v>
      </c>
      <c r="F5" s="15" t="s">
        <v>228</v>
      </c>
      <c r="G5" s="15" t="s">
        <v>226</v>
      </c>
      <c r="H5" s="15">
        <v>1959</v>
      </c>
      <c r="I5" s="15" t="s">
        <v>227</v>
      </c>
    </row>
    <row r="6" spans="1:10" x14ac:dyDescent="0.3">
      <c r="A6" s="23">
        <v>0</v>
      </c>
      <c r="B6" s="23">
        <v>10</v>
      </c>
      <c r="C6" s="15">
        <v>9532</v>
      </c>
      <c r="D6" s="81">
        <v>1</v>
      </c>
      <c r="E6" s="4">
        <v>1</v>
      </c>
      <c r="F6" s="15" t="s">
        <v>228</v>
      </c>
      <c r="G6" s="15" t="s">
        <v>226</v>
      </c>
      <c r="H6" s="15">
        <v>1959</v>
      </c>
      <c r="I6" s="15" t="s">
        <v>227</v>
      </c>
    </row>
    <row r="7" spans="1:10" x14ac:dyDescent="0.3">
      <c r="A7" s="23">
        <v>2</v>
      </c>
      <c r="B7" s="23">
        <v>0</v>
      </c>
      <c r="C7" s="15">
        <v>9532</v>
      </c>
      <c r="D7" s="81">
        <v>4</v>
      </c>
      <c r="E7" s="4">
        <v>1</v>
      </c>
      <c r="F7" s="15" t="s">
        <v>228</v>
      </c>
      <c r="G7" s="15" t="s">
        <v>226</v>
      </c>
      <c r="H7" s="15">
        <v>1959</v>
      </c>
      <c r="I7" s="15" t="s">
        <v>227</v>
      </c>
    </row>
    <row r="8" spans="1:10" x14ac:dyDescent="0.3">
      <c r="A8" s="23">
        <v>2</v>
      </c>
      <c r="B8" s="23">
        <v>2</v>
      </c>
      <c r="C8" s="15">
        <v>9532</v>
      </c>
      <c r="D8" s="81">
        <v>12</v>
      </c>
      <c r="E8" s="4">
        <v>1</v>
      </c>
      <c r="F8" s="15" t="s">
        <v>228</v>
      </c>
      <c r="G8" s="15" t="s">
        <v>226</v>
      </c>
      <c r="H8" s="15">
        <v>1959</v>
      </c>
      <c r="I8" s="15" t="s">
        <v>227</v>
      </c>
    </row>
    <row r="9" spans="1:10" x14ac:dyDescent="0.3">
      <c r="A9" s="23">
        <v>2</v>
      </c>
      <c r="B9" s="23">
        <v>4</v>
      </c>
      <c r="C9" s="15">
        <v>9532</v>
      </c>
      <c r="D9" s="81">
        <v>14</v>
      </c>
      <c r="E9" s="4">
        <v>1</v>
      </c>
      <c r="F9" s="15" t="s">
        <v>228</v>
      </c>
      <c r="G9" s="15" t="s">
        <v>226</v>
      </c>
      <c r="H9" s="15">
        <v>1959</v>
      </c>
      <c r="I9" s="15" t="s">
        <v>227</v>
      </c>
    </row>
    <row r="10" spans="1:10" x14ac:dyDescent="0.3">
      <c r="A10" s="23">
        <v>2</v>
      </c>
      <c r="B10" s="23">
        <v>6</v>
      </c>
      <c r="C10" s="15">
        <v>9532</v>
      </c>
      <c r="D10" s="81">
        <v>4</v>
      </c>
      <c r="E10" s="4">
        <v>1</v>
      </c>
      <c r="F10" s="15" t="s">
        <v>228</v>
      </c>
      <c r="G10" s="15" t="s">
        <v>226</v>
      </c>
      <c r="H10" s="15">
        <v>1959</v>
      </c>
      <c r="I10" s="15" t="s">
        <v>227</v>
      </c>
    </row>
    <row r="11" spans="1:10" x14ac:dyDescent="0.3">
      <c r="A11" s="23">
        <v>2</v>
      </c>
      <c r="B11" s="23">
        <v>8</v>
      </c>
      <c r="C11" s="15">
        <v>9532</v>
      </c>
      <c r="D11" s="81">
        <v>1</v>
      </c>
      <c r="E11" s="4">
        <v>1</v>
      </c>
      <c r="F11" s="15" t="s">
        <v>228</v>
      </c>
      <c r="G11" s="15" t="s">
        <v>226</v>
      </c>
      <c r="H11" s="15">
        <v>1959</v>
      </c>
      <c r="I11" s="15" t="s">
        <v>227</v>
      </c>
    </row>
    <row r="12" spans="1:10" x14ac:dyDescent="0.3">
      <c r="A12" s="23">
        <v>4</v>
      </c>
      <c r="B12" s="23">
        <v>2</v>
      </c>
      <c r="C12" s="15">
        <v>9532</v>
      </c>
      <c r="D12" s="81">
        <v>8</v>
      </c>
      <c r="E12" s="4">
        <v>1</v>
      </c>
      <c r="F12" s="15" t="s">
        <v>228</v>
      </c>
      <c r="G12" s="15" t="s">
        <v>226</v>
      </c>
      <c r="H12" s="15">
        <v>1959</v>
      </c>
      <c r="I12" s="15" t="s">
        <v>227</v>
      </c>
    </row>
    <row r="13" spans="1:10" x14ac:dyDescent="0.3">
      <c r="A13" s="23">
        <v>4</v>
      </c>
      <c r="B13" s="23">
        <v>4</v>
      </c>
      <c r="C13" s="15">
        <v>9532</v>
      </c>
      <c r="D13" s="81">
        <v>21</v>
      </c>
      <c r="E13" s="4">
        <v>1</v>
      </c>
      <c r="F13" s="15" t="s">
        <v>228</v>
      </c>
      <c r="G13" s="15" t="s">
        <v>226</v>
      </c>
      <c r="H13" s="15">
        <v>1959</v>
      </c>
      <c r="I13" s="15" t="s">
        <v>227</v>
      </c>
    </row>
    <row r="14" spans="1:10" x14ac:dyDescent="0.3">
      <c r="A14" s="23">
        <v>4</v>
      </c>
      <c r="B14" s="23">
        <v>6</v>
      </c>
      <c r="C14" s="15">
        <v>9532</v>
      </c>
      <c r="D14" s="81">
        <v>16</v>
      </c>
      <c r="E14" s="4">
        <v>1</v>
      </c>
      <c r="F14" s="15" t="s">
        <v>228</v>
      </c>
      <c r="G14" s="15" t="s">
        <v>226</v>
      </c>
      <c r="H14" s="15">
        <v>1959</v>
      </c>
      <c r="I14" s="15" t="s">
        <v>227</v>
      </c>
    </row>
    <row r="15" spans="1:10" x14ac:dyDescent="0.3">
      <c r="A15" s="23">
        <v>4</v>
      </c>
      <c r="B15" s="23">
        <v>8</v>
      </c>
      <c r="C15" s="15">
        <v>9532</v>
      </c>
      <c r="D15" s="81">
        <v>5</v>
      </c>
      <c r="E15" s="4">
        <v>1</v>
      </c>
      <c r="F15" s="15" t="s">
        <v>228</v>
      </c>
      <c r="G15" s="15" t="s">
        <v>226</v>
      </c>
      <c r="H15" s="15">
        <v>1959</v>
      </c>
      <c r="I15" s="15" t="s">
        <v>227</v>
      </c>
    </row>
    <row r="16" spans="1:10" x14ac:dyDescent="0.3">
      <c r="A16" s="23">
        <v>6</v>
      </c>
      <c r="B16" s="23">
        <v>2</v>
      </c>
      <c r="C16" s="15">
        <v>9532</v>
      </c>
      <c r="D16" s="81">
        <v>2</v>
      </c>
      <c r="E16" s="4">
        <v>1</v>
      </c>
      <c r="F16" s="15" t="s">
        <v>228</v>
      </c>
      <c r="G16" s="15" t="s">
        <v>226</v>
      </c>
      <c r="H16" s="15">
        <v>1959</v>
      </c>
      <c r="I16" s="15" t="s">
        <v>227</v>
      </c>
    </row>
    <row r="17" spans="1:9" x14ac:dyDescent="0.3">
      <c r="A17" s="23">
        <v>6</v>
      </c>
      <c r="B17" s="23">
        <v>4</v>
      </c>
      <c r="C17" s="15">
        <v>9532</v>
      </c>
      <c r="D17" s="81">
        <v>9</v>
      </c>
      <c r="E17" s="4">
        <v>1</v>
      </c>
      <c r="F17" s="15" t="s">
        <v>228</v>
      </c>
      <c r="G17" s="15" t="s">
        <v>226</v>
      </c>
      <c r="H17" s="15">
        <v>1959</v>
      </c>
      <c r="I17" s="15" t="s">
        <v>227</v>
      </c>
    </row>
    <row r="18" spans="1:9" x14ac:dyDescent="0.3">
      <c r="A18" s="23">
        <v>6</v>
      </c>
      <c r="B18" s="23">
        <v>6</v>
      </c>
      <c r="C18" s="15">
        <v>9532</v>
      </c>
      <c r="D18" s="81">
        <v>24</v>
      </c>
      <c r="E18" s="4">
        <v>1</v>
      </c>
      <c r="F18" s="15" t="s">
        <v>228</v>
      </c>
      <c r="G18" s="15" t="s">
        <v>226</v>
      </c>
      <c r="H18" s="15">
        <v>1959</v>
      </c>
      <c r="I18" s="15" t="s">
        <v>227</v>
      </c>
    </row>
    <row r="19" spans="1:9" x14ac:dyDescent="0.3">
      <c r="A19" s="23">
        <v>6</v>
      </c>
      <c r="B19" s="23">
        <v>8</v>
      </c>
      <c r="C19" s="15">
        <v>9532</v>
      </c>
      <c r="D19" s="81">
        <v>19</v>
      </c>
      <c r="E19" s="4">
        <v>1</v>
      </c>
      <c r="F19" s="15" t="s">
        <v>228</v>
      </c>
      <c r="G19" s="15" t="s">
        <v>226</v>
      </c>
      <c r="H19" s="15">
        <v>1959</v>
      </c>
      <c r="I19" s="15" t="s">
        <v>227</v>
      </c>
    </row>
    <row r="20" spans="1:9" x14ac:dyDescent="0.3">
      <c r="A20" s="23">
        <v>6</v>
      </c>
      <c r="B20" s="23">
        <v>10</v>
      </c>
      <c r="C20" s="15">
        <v>9532</v>
      </c>
      <c r="D20" s="81">
        <v>3</v>
      </c>
      <c r="E20" s="4">
        <v>1</v>
      </c>
      <c r="F20" s="15" t="s">
        <v>228</v>
      </c>
      <c r="G20" s="15" t="s">
        <v>226</v>
      </c>
      <c r="H20" s="15">
        <v>1959</v>
      </c>
      <c r="I20" s="15" t="s">
        <v>227</v>
      </c>
    </row>
    <row r="21" spans="1:9" x14ac:dyDescent="0.3">
      <c r="A21" s="23">
        <v>8</v>
      </c>
      <c r="B21" s="23">
        <v>4</v>
      </c>
      <c r="C21" s="15">
        <v>9532</v>
      </c>
      <c r="D21" s="81">
        <v>3</v>
      </c>
      <c r="E21" s="4">
        <v>1</v>
      </c>
      <c r="F21" s="15" t="s">
        <v>228</v>
      </c>
      <c r="G21" s="15" t="s">
        <v>226</v>
      </c>
      <c r="H21" s="15">
        <v>1959</v>
      </c>
      <c r="I21" s="15" t="s">
        <v>227</v>
      </c>
    </row>
    <row r="22" spans="1:9" x14ac:dyDescent="0.3">
      <c r="A22" s="23">
        <v>8</v>
      </c>
      <c r="B22" s="23">
        <v>6</v>
      </c>
      <c r="C22" s="15">
        <v>9532</v>
      </c>
      <c r="D22" s="81">
        <v>13</v>
      </c>
      <c r="E22" s="4">
        <v>1</v>
      </c>
      <c r="F22" s="15" t="s">
        <v>228</v>
      </c>
      <c r="G22" s="15" t="s">
        <v>226</v>
      </c>
      <c r="H22" s="15">
        <v>1959</v>
      </c>
      <c r="I22" s="15" t="s">
        <v>227</v>
      </c>
    </row>
    <row r="23" spans="1:9" x14ac:dyDescent="0.3">
      <c r="A23" s="23">
        <v>8</v>
      </c>
      <c r="B23" s="23">
        <v>8</v>
      </c>
      <c r="C23" s="15">
        <v>9532</v>
      </c>
      <c r="D23" s="81">
        <v>18</v>
      </c>
      <c r="E23" s="4">
        <v>1</v>
      </c>
      <c r="F23" s="15" t="s">
        <v>228</v>
      </c>
      <c r="G23" s="15" t="s">
        <v>226</v>
      </c>
      <c r="H23" s="15">
        <v>1959</v>
      </c>
      <c r="I23" s="15" t="s">
        <v>227</v>
      </c>
    </row>
    <row r="24" spans="1:9" x14ac:dyDescent="0.3">
      <c r="A24" s="23">
        <v>8</v>
      </c>
      <c r="B24" s="23">
        <v>10</v>
      </c>
      <c r="C24" s="15">
        <v>9532</v>
      </c>
      <c r="D24" s="81">
        <v>13</v>
      </c>
      <c r="E24" s="4">
        <v>1</v>
      </c>
      <c r="F24" s="15" t="s">
        <v>228</v>
      </c>
      <c r="G24" s="15" t="s">
        <v>226</v>
      </c>
      <c r="H24" s="15">
        <v>1959</v>
      </c>
      <c r="I24" s="15" t="s">
        <v>227</v>
      </c>
    </row>
    <row r="25" spans="1:9" x14ac:dyDescent="0.3">
      <c r="A25" s="23">
        <v>10</v>
      </c>
      <c r="B25" s="23">
        <v>6</v>
      </c>
      <c r="C25" s="15">
        <v>9532</v>
      </c>
      <c r="D25" s="81">
        <v>2</v>
      </c>
      <c r="E25" s="4">
        <v>1</v>
      </c>
      <c r="F25" s="15" t="s">
        <v>228</v>
      </c>
      <c r="G25" s="15" t="s">
        <v>226</v>
      </c>
      <c r="H25" s="15">
        <v>1959</v>
      </c>
      <c r="I25" s="15" t="s">
        <v>227</v>
      </c>
    </row>
    <row r="26" spans="1:9" x14ac:dyDescent="0.3">
      <c r="A26" s="23">
        <v>10</v>
      </c>
      <c r="B26" s="23">
        <v>8</v>
      </c>
      <c r="C26" s="15">
        <v>9532</v>
      </c>
      <c r="D26" s="81">
        <v>12</v>
      </c>
      <c r="E26" s="4">
        <v>1</v>
      </c>
      <c r="F26" s="15" t="s">
        <v>228</v>
      </c>
      <c r="G26" s="15" t="s">
        <v>226</v>
      </c>
      <c r="H26" s="15">
        <v>1959</v>
      </c>
      <c r="I26" s="15" t="s">
        <v>227</v>
      </c>
    </row>
    <row r="27" spans="1:9" x14ac:dyDescent="0.3">
      <c r="A27" s="23">
        <v>10</v>
      </c>
      <c r="B27" s="23">
        <v>10</v>
      </c>
      <c r="C27" s="15">
        <v>9532</v>
      </c>
      <c r="D27" s="81">
        <v>9</v>
      </c>
      <c r="E27" s="4">
        <v>1</v>
      </c>
      <c r="F27" s="15" t="s">
        <v>228</v>
      </c>
      <c r="G27" s="15" t="s">
        <v>226</v>
      </c>
      <c r="H27" s="15">
        <v>1959</v>
      </c>
      <c r="I27" s="15" t="s">
        <v>227</v>
      </c>
    </row>
    <row r="28" spans="1:9" x14ac:dyDescent="0.3">
      <c r="A28" s="23">
        <v>0</v>
      </c>
      <c r="B28" s="23">
        <v>0</v>
      </c>
      <c r="C28" s="15">
        <v>9532</v>
      </c>
      <c r="D28" s="81">
        <v>26</v>
      </c>
      <c r="E28" s="4">
        <v>2</v>
      </c>
      <c r="F28" s="15" t="s">
        <v>228</v>
      </c>
      <c r="G28" s="15" t="s">
        <v>226</v>
      </c>
      <c r="H28" s="15">
        <v>1959</v>
      </c>
      <c r="I28" s="15" t="s">
        <v>227</v>
      </c>
    </row>
    <row r="29" spans="1:9" x14ac:dyDescent="0.3">
      <c r="A29" s="23">
        <v>0</v>
      </c>
      <c r="B29" s="23">
        <v>2</v>
      </c>
      <c r="C29" s="15">
        <v>9532</v>
      </c>
      <c r="D29" s="81">
        <v>19</v>
      </c>
      <c r="E29" s="4">
        <v>2</v>
      </c>
      <c r="F29" s="15" t="s">
        <v>228</v>
      </c>
      <c r="G29" s="15" t="s">
        <v>226</v>
      </c>
      <c r="H29" s="15">
        <v>1959</v>
      </c>
      <c r="I29" s="15" t="s">
        <v>227</v>
      </c>
    </row>
    <row r="30" spans="1:9" x14ac:dyDescent="0.3">
      <c r="A30" s="23">
        <v>0</v>
      </c>
      <c r="B30" s="23">
        <v>4</v>
      </c>
      <c r="C30" s="15">
        <v>9532</v>
      </c>
      <c r="D30" s="81">
        <v>10</v>
      </c>
      <c r="E30" s="4">
        <v>2</v>
      </c>
      <c r="F30" s="15" t="s">
        <v>228</v>
      </c>
      <c r="G30" s="15" t="s">
        <v>226</v>
      </c>
      <c r="H30" s="15">
        <v>1959</v>
      </c>
      <c r="I30" s="15" t="s">
        <v>227</v>
      </c>
    </row>
    <row r="31" spans="1:9" x14ac:dyDescent="0.3">
      <c r="A31" s="23">
        <v>0</v>
      </c>
      <c r="B31" s="23">
        <v>6</v>
      </c>
      <c r="C31" s="15">
        <v>9532</v>
      </c>
      <c r="D31" s="81">
        <v>1</v>
      </c>
      <c r="E31" s="4">
        <v>2</v>
      </c>
      <c r="F31" s="15" t="s">
        <v>228</v>
      </c>
      <c r="G31" s="15" t="s">
        <v>226</v>
      </c>
      <c r="H31" s="15">
        <v>1959</v>
      </c>
      <c r="I31" s="15" t="s">
        <v>227</v>
      </c>
    </row>
    <row r="32" spans="1:9" x14ac:dyDescent="0.3">
      <c r="A32" s="23">
        <v>0</v>
      </c>
      <c r="B32" s="23">
        <v>8</v>
      </c>
      <c r="C32" s="15">
        <v>9532</v>
      </c>
      <c r="D32" s="81">
        <v>1</v>
      </c>
      <c r="E32" s="4">
        <v>2</v>
      </c>
      <c r="F32" s="15" t="s">
        <v>228</v>
      </c>
      <c r="G32" s="15" t="s">
        <v>226</v>
      </c>
      <c r="H32" s="15">
        <v>1959</v>
      </c>
      <c r="I32" s="15" t="s">
        <v>227</v>
      </c>
    </row>
    <row r="33" spans="1:9" x14ac:dyDescent="0.3">
      <c r="A33" s="23">
        <v>2</v>
      </c>
      <c r="B33" s="23">
        <v>0</v>
      </c>
      <c r="C33" s="15">
        <v>9532</v>
      </c>
      <c r="D33" s="81">
        <v>2</v>
      </c>
      <c r="E33" s="4">
        <v>2</v>
      </c>
      <c r="F33" s="15" t="s">
        <v>228</v>
      </c>
      <c r="G33" s="15" t="s">
        <v>226</v>
      </c>
      <c r="H33" s="15">
        <v>1959</v>
      </c>
      <c r="I33" s="15" t="s">
        <v>227</v>
      </c>
    </row>
    <row r="34" spans="1:9" x14ac:dyDescent="0.3">
      <c r="A34" s="23">
        <v>2</v>
      </c>
      <c r="B34" s="23">
        <v>2</v>
      </c>
      <c r="C34" s="15">
        <v>9532</v>
      </c>
      <c r="D34" s="81">
        <v>13</v>
      </c>
      <c r="E34" s="4">
        <v>2</v>
      </c>
      <c r="F34" s="15" t="s">
        <v>228</v>
      </c>
      <c r="G34" s="15" t="s">
        <v>226</v>
      </c>
      <c r="H34" s="15">
        <v>1959</v>
      </c>
      <c r="I34" s="15" t="s">
        <v>227</v>
      </c>
    </row>
    <row r="35" spans="1:9" x14ac:dyDescent="0.3">
      <c r="A35" s="23">
        <v>2</v>
      </c>
      <c r="B35" s="23">
        <v>4</v>
      </c>
      <c r="C35" s="15">
        <v>9532</v>
      </c>
      <c r="D35" s="81">
        <v>5</v>
      </c>
      <c r="E35" s="4">
        <v>2</v>
      </c>
      <c r="F35" s="15" t="s">
        <v>228</v>
      </c>
      <c r="G35" s="15" t="s">
        <v>226</v>
      </c>
      <c r="H35" s="15">
        <v>1959</v>
      </c>
      <c r="I35" s="15" t="s">
        <v>227</v>
      </c>
    </row>
    <row r="36" spans="1:9" x14ac:dyDescent="0.3">
      <c r="A36" s="23">
        <v>2</v>
      </c>
      <c r="B36" s="23">
        <v>6</v>
      </c>
      <c r="C36" s="15">
        <v>9532</v>
      </c>
      <c r="D36" s="81">
        <v>8</v>
      </c>
      <c r="E36" s="4">
        <v>2</v>
      </c>
      <c r="F36" s="15" t="s">
        <v>228</v>
      </c>
      <c r="G36" s="15" t="s">
        <v>226</v>
      </c>
      <c r="H36" s="15">
        <v>1959</v>
      </c>
      <c r="I36" s="15" t="s">
        <v>227</v>
      </c>
    </row>
    <row r="37" spans="1:9" x14ac:dyDescent="0.3">
      <c r="A37" s="23">
        <v>2</v>
      </c>
      <c r="B37" s="23">
        <v>8</v>
      </c>
      <c r="C37" s="15">
        <v>9532</v>
      </c>
      <c r="D37" s="81">
        <v>2</v>
      </c>
      <c r="E37" s="4">
        <v>2</v>
      </c>
      <c r="F37" s="15" t="s">
        <v>228</v>
      </c>
      <c r="G37" s="15" t="s">
        <v>226</v>
      </c>
      <c r="H37" s="15">
        <v>1959</v>
      </c>
      <c r="I37" s="15" t="s">
        <v>227</v>
      </c>
    </row>
    <row r="38" spans="1:9" x14ac:dyDescent="0.3">
      <c r="A38" s="23">
        <v>4</v>
      </c>
      <c r="B38" s="23">
        <v>0</v>
      </c>
      <c r="C38" s="15">
        <v>9532</v>
      </c>
      <c r="D38" s="81">
        <v>1</v>
      </c>
      <c r="E38" s="4">
        <v>2</v>
      </c>
      <c r="F38" s="15" t="s">
        <v>228</v>
      </c>
      <c r="G38" s="15" t="s">
        <v>226</v>
      </c>
      <c r="H38" s="15">
        <v>1959</v>
      </c>
      <c r="I38" s="15" t="s">
        <v>227</v>
      </c>
    </row>
    <row r="39" spans="1:9" x14ac:dyDescent="0.3">
      <c r="A39" s="23">
        <v>4</v>
      </c>
      <c r="B39" s="23">
        <v>2</v>
      </c>
      <c r="C39" s="15">
        <v>9532</v>
      </c>
      <c r="D39" s="81">
        <v>8</v>
      </c>
      <c r="E39" s="4">
        <v>2</v>
      </c>
      <c r="F39" s="15" t="s">
        <v>228</v>
      </c>
      <c r="G39" s="15" t="s">
        <v>226</v>
      </c>
      <c r="H39" s="15">
        <v>1959</v>
      </c>
      <c r="I39" s="15" t="s">
        <v>227</v>
      </c>
    </row>
    <row r="40" spans="1:9" x14ac:dyDescent="0.3">
      <c r="A40" s="23">
        <v>4</v>
      </c>
      <c r="B40" s="23">
        <v>4</v>
      </c>
      <c r="C40" s="15">
        <v>9532</v>
      </c>
      <c r="D40" s="81">
        <v>21</v>
      </c>
      <c r="E40" s="4">
        <v>2</v>
      </c>
      <c r="F40" s="15" t="s">
        <v>228</v>
      </c>
      <c r="G40" s="15" t="s">
        <v>226</v>
      </c>
      <c r="H40" s="15">
        <v>1959</v>
      </c>
      <c r="I40" s="15" t="s">
        <v>227</v>
      </c>
    </row>
    <row r="41" spans="1:9" x14ac:dyDescent="0.3">
      <c r="A41" s="23">
        <v>4</v>
      </c>
      <c r="B41" s="23">
        <v>6</v>
      </c>
      <c r="C41" s="15">
        <v>9532</v>
      </c>
      <c r="D41" s="81">
        <v>11</v>
      </c>
      <c r="E41" s="4">
        <v>2</v>
      </c>
      <c r="F41" s="15" t="s">
        <v>228</v>
      </c>
      <c r="G41" s="15" t="s">
        <v>226</v>
      </c>
      <c r="H41" s="15">
        <v>1959</v>
      </c>
      <c r="I41" s="15" t="s">
        <v>227</v>
      </c>
    </row>
    <row r="42" spans="1:9" x14ac:dyDescent="0.3">
      <c r="A42" s="23">
        <v>4</v>
      </c>
      <c r="B42" s="23">
        <v>8</v>
      </c>
      <c r="C42" s="15">
        <v>9532</v>
      </c>
      <c r="D42" s="81">
        <v>11</v>
      </c>
      <c r="E42" s="4">
        <v>2</v>
      </c>
      <c r="F42" s="15" t="s">
        <v>228</v>
      </c>
      <c r="G42" s="15" t="s">
        <v>226</v>
      </c>
      <c r="H42" s="15">
        <v>1959</v>
      </c>
      <c r="I42" s="15" t="s">
        <v>227</v>
      </c>
    </row>
    <row r="43" spans="1:9" x14ac:dyDescent="0.3">
      <c r="A43" s="23">
        <v>4</v>
      </c>
      <c r="B43" s="23">
        <v>10</v>
      </c>
      <c r="C43" s="15">
        <v>9532</v>
      </c>
      <c r="D43" s="81">
        <v>3</v>
      </c>
      <c r="E43" s="4">
        <v>2</v>
      </c>
      <c r="F43" s="15" t="s">
        <v>228</v>
      </c>
      <c r="G43" s="15" t="s">
        <v>226</v>
      </c>
      <c r="H43" s="15">
        <v>1959</v>
      </c>
      <c r="I43" s="15" t="s">
        <v>227</v>
      </c>
    </row>
    <row r="44" spans="1:9" x14ac:dyDescent="0.3">
      <c r="A44" s="23">
        <v>6</v>
      </c>
      <c r="B44" s="23">
        <v>2</v>
      </c>
      <c r="C44" s="15">
        <v>9532</v>
      </c>
      <c r="D44" s="81">
        <v>3</v>
      </c>
      <c r="E44" s="4">
        <v>2</v>
      </c>
      <c r="F44" s="15" t="s">
        <v>228</v>
      </c>
      <c r="G44" s="15" t="s">
        <v>226</v>
      </c>
      <c r="H44" s="15">
        <v>1959</v>
      </c>
      <c r="I44" s="15" t="s">
        <v>227</v>
      </c>
    </row>
    <row r="45" spans="1:9" x14ac:dyDescent="0.3">
      <c r="A45" s="23">
        <v>6</v>
      </c>
      <c r="B45" s="23">
        <v>4</v>
      </c>
      <c r="C45" s="15">
        <v>9532</v>
      </c>
      <c r="D45" s="81">
        <v>14</v>
      </c>
      <c r="E45" s="4">
        <v>2</v>
      </c>
      <c r="F45" s="15" t="s">
        <v>228</v>
      </c>
      <c r="G45" s="15" t="s">
        <v>226</v>
      </c>
      <c r="H45" s="15">
        <v>1959</v>
      </c>
      <c r="I45" s="15" t="s">
        <v>227</v>
      </c>
    </row>
    <row r="46" spans="1:9" x14ac:dyDescent="0.3">
      <c r="A46" s="23">
        <v>6</v>
      </c>
      <c r="B46" s="23">
        <v>6</v>
      </c>
      <c r="C46" s="15">
        <v>9532</v>
      </c>
      <c r="D46" s="81">
        <v>15</v>
      </c>
      <c r="E46" s="4">
        <v>2</v>
      </c>
      <c r="F46" s="15" t="s">
        <v>228</v>
      </c>
      <c r="G46" s="15" t="s">
        <v>226</v>
      </c>
      <c r="H46" s="15">
        <v>1959</v>
      </c>
      <c r="I46" s="15" t="s">
        <v>227</v>
      </c>
    </row>
    <row r="47" spans="1:9" x14ac:dyDescent="0.3">
      <c r="A47" s="23">
        <v>6</v>
      </c>
      <c r="B47" s="23">
        <v>8</v>
      </c>
      <c r="C47" s="15">
        <v>9532</v>
      </c>
      <c r="D47" s="81">
        <v>14</v>
      </c>
      <c r="E47" s="4">
        <v>2</v>
      </c>
      <c r="F47" s="15" t="s">
        <v>228</v>
      </c>
      <c r="G47" s="15" t="s">
        <v>226</v>
      </c>
      <c r="H47" s="15">
        <v>1959</v>
      </c>
      <c r="I47" s="15" t="s">
        <v>227</v>
      </c>
    </row>
    <row r="48" spans="1:9" x14ac:dyDescent="0.3">
      <c r="A48" s="23">
        <v>6</v>
      </c>
      <c r="B48" s="23">
        <v>10</v>
      </c>
      <c r="C48" s="15">
        <v>9532</v>
      </c>
      <c r="D48" s="81">
        <v>8</v>
      </c>
      <c r="E48" s="4">
        <v>2</v>
      </c>
      <c r="F48" s="15" t="s">
        <v>228</v>
      </c>
      <c r="G48" s="15" t="s">
        <v>226</v>
      </c>
      <c r="H48" s="15">
        <v>1959</v>
      </c>
      <c r="I48" s="15" t="s">
        <v>227</v>
      </c>
    </row>
    <row r="49" spans="1:9" x14ac:dyDescent="0.3">
      <c r="A49" s="23">
        <v>8</v>
      </c>
      <c r="B49" s="23">
        <v>0</v>
      </c>
      <c r="C49" s="15">
        <v>9532</v>
      </c>
      <c r="D49" s="81">
        <v>1</v>
      </c>
      <c r="E49" s="4">
        <v>2</v>
      </c>
      <c r="F49" s="15" t="s">
        <v>228</v>
      </c>
      <c r="G49" s="15" t="s">
        <v>226</v>
      </c>
      <c r="H49" s="15">
        <v>1959</v>
      </c>
      <c r="I49" s="15" t="s">
        <v>227</v>
      </c>
    </row>
    <row r="50" spans="1:9" x14ac:dyDescent="0.3">
      <c r="A50" s="23">
        <v>8</v>
      </c>
      <c r="B50" s="23">
        <v>4</v>
      </c>
      <c r="C50" s="15">
        <v>9532</v>
      </c>
      <c r="D50" s="81">
        <v>3</v>
      </c>
      <c r="E50" s="4">
        <v>2</v>
      </c>
      <c r="F50" s="15" t="s">
        <v>228</v>
      </c>
      <c r="G50" s="15" t="s">
        <v>226</v>
      </c>
      <c r="H50" s="15">
        <v>1959</v>
      </c>
      <c r="I50" s="15" t="s">
        <v>227</v>
      </c>
    </row>
    <row r="51" spans="1:9" x14ac:dyDescent="0.3">
      <c r="A51" s="23">
        <v>8</v>
      </c>
      <c r="B51" s="23">
        <v>6</v>
      </c>
      <c r="C51" s="15">
        <v>9532</v>
      </c>
      <c r="D51" s="81">
        <v>13</v>
      </c>
      <c r="E51" s="4">
        <v>2</v>
      </c>
      <c r="F51" s="15" t="s">
        <v>228</v>
      </c>
      <c r="G51" s="15" t="s">
        <v>226</v>
      </c>
      <c r="H51" s="15">
        <v>1959</v>
      </c>
      <c r="I51" s="15" t="s">
        <v>227</v>
      </c>
    </row>
    <row r="52" spans="1:9" x14ac:dyDescent="0.3">
      <c r="A52" s="23">
        <v>8</v>
      </c>
      <c r="B52" s="23">
        <v>8</v>
      </c>
      <c r="C52" s="15">
        <v>9532</v>
      </c>
      <c r="D52" s="81">
        <v>22</v>
      </c>
      <c r="E52" s="4">
        <v>2</v>
      </c>
      <c r="F52" s="15" t="s">
        <v>228</v>
      </c>
      <c r="G52" s="15" t="s">
        <v>226</v>
      </c>
      <c r="H52" s="15">
        <v>1959</v>
      </c>
      <c r="I52" s="15" t="s">
        <v>227</v>
      </c>
    </row>
    <row r="53" spans="1:9" x14ac:dyDescent="0.3">
      <c r="A53" s="23">
        <v>8</v>
      </c>
      <c r="B53" s="23">
        <v>10</v>
      </c>
      <c r="C53" s="15">
        <v>9532</v>
      </c>
      <c r="D53" s="81">
        <v>11</v>
      </c>
      <c r="E53" s="4">
        <v>2</v>
      </c>
      <c r="F53" s="15" t="s">
        <v>228</v>
      </c>
      <c r="G53" s="15" t="s">
        <v>226</v>
      </c>
      <c r="H53" s="15">
        <v>1959</v>
      </c>
      <c r="I53" s="15" t="s">
        <v>227</v>
      </c>
    </row>
    <row r="54" spans="1:9" x14ac:dyDescent="0.3">
      <c r="A54" s="23">
        <v>10</v>
      </c>
      <c r="B54" s="23">
        <v>6</v>
      </c>
      <c r="C54" s="15">
        <v>9532</v>
      </c>
      <c r="D54" s="81">
        <v>4</v>
      </c>
      <c r="E54" s="4">
        <v>2</v>
      </c>
      <c r="F54" s="15" t="s">
        <v>228</v>
      </c>
      <c r="G54" s="15" t="s">
        <v>226</v>
      </c>
      <c r="H54" s="15">
        <v>1959</v>
      </c>
      <c r="I54" s="15" t="s">
        <v>227</v>
      </c>
    </row>
    <row r="55" spans="1:9" x14ac:dyDescent="0.3">
      <c r="A55" s="23">
        <v>10</v>
      </c>
      <c r="B55" s="23">
        <v>8</v>
      </c>
      <c r="C55" s="15">
        <v>9532</v>
      </c>
      <c r="D55" s="81">
        <v>14</v>
      </c>
      <c r="E55" s="4">
        <v>2</v>
      </c>
      <c r="F55" s="15" t="s">
        <v>228</v>
      </c>
      <c r="G55" s="15" t="s">
        <v>226</v>
      </c>
      <c r="H55" s="15">
        <v>1959</v>
      </c>
      <c r="I55" s="15" t="s">
        <v>227</v>
      </c>
    </row>
    <row r="56" spans="1:9" x14ac:dyDescent="0.3">
      <c r="A56" s="23">
        <v>10</v>
      </c>
      <c r="B56" s="23">
        <v>10</v>
      </c>
      <c r="C56" s="15">
        <v>9532</v>
      </c>
      <c r="D56" s="81">
        <v>18</v>
      </c>
      <c r="E56" s="4">
        <v>2</v>
      </c>
      <c r="F56" s="15" t="s">
        <v>228</v>
      </c>
      <c r="G56" s="15" t="s">
        <v>226</v>
      </c>
      <c r="H56" s="15">
        <v>1959</v>
      </c>
      <c r="I56" s="15" t="s">
        <v>227</v>
      </c>
    </row>
    <row r="57" spans="1:9" x14ac:dyDescent="0.3">
      <c r="A57" s="23">
        <v>0</v>
      </c>
      <c r="B57" s="23">
        <v>0</v>
      </c>
      <c r="C57" s="15">
        <v>9532</v>
      </c>
      <c r="D57" s="81">
        <v>68</v>
      </c>
      <c r="E57" s="4">
        <v>3</v>
      </c>
      <c r="F57" s="15" t="s">
        <v>228</v>
      </c>
      <c r="G57" s="15" t="s">
        <v>226</v>
      </c>
      <c r="H57" s="15">
        <v>1959</v>
      </c>
      <c r="I57" s="15" t="s">
        <v>227</v>
      </c>
    </row>
    <row r="58" spans="1:9" x14ac:dyDescent="0.3">
      <c r="A58" s="23">
        <v>0</v>
      </c>
      <c r="B58" s="23">
        <v>2</v>
      </c>
      <c r="C58" s="15">
        <v>9532</v>
      </c>
      <c r="D58" s="81">
        <v>21</v>
      </c>
      <c r="E58" s="4">
        <v>3</v>
      </c>
      <c r="F58" s="15" t="s">
        <v>228</v>
      </c>
      <c r="G58" s="15" t="s">
        <v>226</v>
      </c>
      <c r="H58" s="15">
        <v>1959</v>
      </c>
      <c r="I58" s="15" t="s">
        <v>227</v>
      </c>
    </row>
    <row r="59" spans="1:9" x14ac:dyDescent="0.3">
      <c r="A59" s="23">
        <v>0</v>
      </c>
      <c r="B59" s="23">
        <v>4</v>
      </c>
      <c r="C59" s="15">
        <v>9532</v>
      </c>
      <c r="D59" s="81">
        <v>16</v>
      </c>
      <c r="E59" s="4">
        <v>3</v>
      </c>
      <c r="F59" s="15" t="s">
        <v>228</v>
      </c>
      <c r="G59" s="15" t="s">
        <v>226</v>
      </c>
      <c r="H59" s="15">
        <v>1959</v>
      </c>
      <c r="I59" s="15" t="s">
        <v>227</v>
      </c>
    </row>
    <row r="60" spans="1:9" x14ac:dyDescent="0.3">
      <c r="A60" s="23">
        <v>0</v>
      </c>
      <c r="B60" s="23">
        <v>6</v>
      </c>
      <c r="C60" s="15">
        <v>9532</v>
      </c>
      <c r="D60" s="81">
        <v>6</v>
      </c>
      <c r="E60" s="4">
        <v>3</v>
      </c>
      <c r="F60" s="15" t="s">
        <v>228</v>
      </c>
      <c r="G60" s="15" t="s">
        <v>226</v>
      </c>
      <c r="H60" s="15">
        <v>1959</v>
      </c>
      <c r="I60" s="15" t="s">
        <v>227</v>
      </c>
    </row>
    <row r="61" spans="1:9" x14ac:dyDescent="0.3">
      <c r="A61" s="23">
        <v>0</v>
      </c>
      <c r="B61" s="23">
        <v>8</v>
      </c>
      <c r="C61" s="15">
        <v>9532</v>
      </c>
      <c r="D61" s="81">
        <v>3</v>
      </c>
      <c r="E61" s="4">
        <v>3</v>
      </c>
      <c r="F61" s="15" t="s">
        <v>228</v>
      </c>
      <c r="G61" s="15" t="s">
        <v>226</v>
      </c>
      <c r="H61" s="15">
        <v>1959</v>
      </c>
      <c r="I61" s="15" t="s">
        <v>227</v>
      </c>
    </row>
    <row r="62" spans="1:9" x14ac:dyDescent="0.3">
      <c r="A62" s="23">
        <v>2</v>
      </c>
      <c r="B62" s="23">
        <v>0</v>
      </c>
      <c r="C62" s="15">
        <v>9532</v>
      </c>
      <c r="D62" s="81">
        <v>6</v>
      </c>
      <c r="E62" s="4">
        <v>3</v>
      </c>
      <c r="F62" s="15" t="s">
        <v>228</v>
      </c>
      <c r="G62" s="15" t="s">
        <v>226</v>
      </c>
      <c r="H62" s="15">
        <v>1959</v>
      </c>
      <c r="I62" s="15" t="s">
        <v>227</v>
      </c>
    </row>
    <row r="63" spans="1:9" x14ac:dyDescent="0.3">
      <c r="A63" s="23">
        <v>2</v>
      </c>
      <c r="B63" s="23">
        <v>2</v>
      </c>
      <c r="C63" s="15">
        <v>9532</v>
      </c>
      <c r="D63" s="81">
        <v>10</v>
      </c>
      <c r="E63" s="4">
        <v>3</v>
      </c>
      <c r="F63" s="15" t="s">
        <v>228</v>
      </c>
      <c r="G63" s="15" t="s">
        <v>226</v>
      </c>
      <c r="H63" s="15">
        <v>1959</v>
      </c>
      <c r="I63" s="15" t="s">
        <v>227</v>
      </c>
    </row>
    <row r="64" spans="1:9" x14ac:dyDescent="0.3">
      <c r="A64" s="23">
        <v>2</v>
      </c>
      <c r="B64" s="23">
        <v>4</v>
      </c>
      <c r="C64" s="15">
        <v>9532</v>
      </c>
      <c r="D64" s="81">
        <v>11</v>
      </c>
      <c r="E64" s="4">
        <v>3</v>
      </c>
      <c r="F64" s="15" t="s">
        <v>228</v>
      </c>
      <c r="G64" s="15" t="s">
        <v>226</v>
      </c>
      <c r="H64" s="15">
        <v>1959</v>
      </c>
      <c r="I64" s="15" t="s">
        <v>227</v>
      </c>
    </row>
    <row r="65" spans="1:9" x14ac:dyDescent="0.3">
      <c r="A65" s="23">
        <v>2</v>
      </c>
      <c r="B65" s="23">
        <v>6</v>
      </c>
      <c r="C65" s="15">
        <v>9532</v>
      </c>
      <c r="D65" s="81">
        <v>4</v>
      </c>
      <c r="E65" s="4">
        <v>3</v>
      </c>
      <c r="F65" s="15" t="s">
        <v>228</v>
      </c>
      <c r="G65" s="15" t="s">
        <v>226</v>
      </c>
      <c r="H65" s="15">
        <v>1959</v>
      </c>
      <c r="I65" s="15" t="s">
        <v>227</v>
      </c>
    </row>
    <row r="66" spans="1:9" x14ac:dyDescent="0.3">
      <c r="A66" s="23">
        <v>2</v>
      </c>
      <c r="B66" s="23">
        <v>8</v>
      </c>
      <c r="C66" s="15">
        <v>9532</v>
      </c>
      <c r="D66" s="81">
        <v>1</v>
      </c>
      <c r="E66" s="4">
        <v>3</v>
      </c>
      <c r="F66" s="15" t="s">
        <v>228</v>
      </c>
      <c r="G66" s="15" t="s">
        <v>226</v>
      </c>
      <c r="H66" s="15">
        <v>1959</v>
      </c>
      <c r="I66" s="15" t="s">
        <v>227</v>
      </c>
    </row>
    <row r="67" spans="1:9" x14ac:dyDescent="0.3">
      <c r="A67" s="23">
        <v>4</v>
      </c>
      <c r="B67" s="23">
        <v>2</v>
      </c>
      <c r="C67" s="15">
        <v>9532</v>
      </c>
      <c r="D67" s="81">
        <v>10</v>
      </c>
      <c r="E67" s="4">
        <v>3</v>
      </c>
      <c r="F67" s="15" t="s">
        <v>228</v>
      </c>
      <c r="G67" s="15" t="s">
        <v>226</v>
      </c>
      <c r="H67" s="15">
        <v>1959</v>
      </c>
      <c r="I67" s="15" t="s">
        <v>227</v>
      </c>
    </row>
    <row r="68" spans="1:9" x14ac:dyDescent="0.3">
      <c r="A68" s="23">
        <v>4</v>
      </c>
      <c r="B68" s="23">
        <v>4</v>
      </c>
      <c r="C68" s="15">
        <v>9532</v>
      </c>
      <c r="D68" s="81">
        <v>14</v>
      </c>
      <c r="E68" s="4">
        <v>3</v>
      </c>
      <c r="F68" s="15" t="s">
        <v>228</v>
      </c>
      <c r="G68" s="15" t="s">
        <v>226</v>
      </c>
      <c r="H68" s="15">
        <v>1959</v>
      </c>
      <c r="I68" s="15" t="s">
        <v>227</v>
      </c>
    </row>
    <row r="69" spans="1:9" x14ac:dyDescent="0.3">
      <c r="A69" s="23">
        <v>4</v>
      </c>
      <c r="B69" s="23">
        <v>6</v>
      </c>
      <c r="C69" s="15">
        <v>9532</v>
      </c>
      <c r="D69" s="81">
        <v>7</v>
      </c>
      <c r="E69" s="4">
        <v>3</v>
      </c>
      <c r="F69" s="15" t="s">
        <v>228</v>
      </c>
      <c r="G69" s="15" t="s">
        <v>226</v>
      </c>
      <c r="H69" s="15">
        <v>1959</v>
      </c>
      <c r="I69" s="15" t="s">
        <v>227</v>
      </c>
    </row>
    <row r="70" spans="1:9" x14ac:dyDescent="0.3">
      <c r="A70" s="23">
        <v>4</v>
      </c>
      <c r="B70" s="23">
        <v>8</v>
      </c>
      <c r="C70" s="15">
        <v>9532</v>
      </c>
      <c r="D70" s="81">
        <v>4</v>
      </c>
      <c r="E70" s="4">
        <v>3</v>
      </c>
      <c r="F70" s="15" t="s">
        <v>228</v>
      </c>
      <c r="G70" s="15" t="s">
        <v>226</v>
      </c>
      <c r="H70" s="15">
        <v>1959</v>
      </c>
      <c r="I70" s="15" t="s">
        <v>227</v>
      </c>
    </row>
    <row r="71" spans="1:9" x14ac:dyDescent="0.3">
      <c r="A71" s="23">
        <v>6</v>
      </c>
      <c r="B71" s="23">
        <v>2</v>
      </c>
      <c r="C71" s="15">
        <v>9532</v>
      </c>
      <c r="D71" s="81">
        <v>1</v>
      </c>
      <c r="E71" s="4">
        <v>3</v>
      </c>
      <c r="F71" s="15" t="s">
        <v>228</v>
      </c>
      <c r="G71" s="15" t="s">
        <v>226</v>
      </c>
      <c r="H71" s="15">
        <v>1959</v>
      </c>
      <c r="I71" s="15" t="s">
        <v>227</v>
      </c>
    </row>
    <row r="72" spans="1:9" x14ac:dyDescent="0.3">
      <c r="A72" s="23">
        <v>6</v>
      </c>
      <c r="B72" s="23">
        <v>4</v>
      </c>
      <c r="C72" s="15">
        <v>9532</v>
      </c>
      <c r="D72" s="81">
        <v>12</v>
      </c>
      <c r="E72" s="4">
        <v>3</v>
      </c>
      <c r="F72" s="15" t="s">
        <v>228</v>
      </c>
      <c r="G72" s="15" t="s">
        <v>226</v>
      </c>
      <c r="H72" s="15">
        <v>1959</v>
      </c>
      <c r="I72" s="15" t="s">
        <v>227</v>
      </c>
    </row>
    <row r="73" spans="1:9" x14ac:dyDescent="0.3">
      <c r="A73" s="23">
        <v>6</v>
      </c>
      <c r="B73" s="23">
        <v>6</v>
      </c>
      <c r="C73" s="15">
        <v>9532</v>
      </c>
      <c r="D73" s="81">
        <v>24</v>
      </c>
      <c r="E73" s="4">
        <v>3</v>
      </c>
      <c r="F73" s="15" t="s">
        <v>228</v>
      </c>
      <c r="G73" s="15" t="s">
        <v>226</v>
      </c>
      <c r="H73" s="15">
        <v>1959</v>
      </c>
      <c r="I73" s="15" t="s">
        <v>227</v>
      </c>
    </row>
    <row r="74" spans="1:9" x14ac:dyDescent="0.3">
      <c r="A74" s="23">
        <v>6</v>
      </c>
      <c r="B74" s="23">
        <v>8</v>
      </c>
      <c r="C74" s="15">
        <v>9532</v>
      </c>
      <c r="D74" s="81">
        <v>11</v>
      </c>
      <c r="E74" s="4">
        <v>3</v>
      </c>
      <c r="F74" s="15" t="s">
        <v>228</v>
      </c>
      <c r="G74" s="15" t="s">
        <v>226</v>
      </c>
      <c r="H74" s="15">
        <v>1959</v>
      </c>
      <c r="I74" s="15" t="s">
        <v>227</v>
      </c>
    </row>
    <row r="75" spans="1:9" x14ac:dyDescent="0.3">
      <c r="A75" s="23">
        <v>6</v>
      </c>
      <c r="B75" s="23">
        <v>10</v>
      </c>
      <c r="C75" s="15">
        <v>9532</v>
      </c>
      <c r="D75" s="81">
        <v>5</v>
      </c>
      <c r="E75" s="4">
        <v>3</v>
      </c>
      <c r="F75" s="15" t="s">
        <v>228</v>
      </c>
      <c r="G75" s="15" t="s">
        <v>226</v>
      </c>
      <c r="H75" s="15">
        <v>1959</v>
      </c>
      <c r="I75" s="15" t="s">
        <v>227</v>
      </c>
    </row>
    <row r="76" spans="1:9" x14ac:dyDescent="0.3">
      <c r="A76" s="23">
        <v>8</v>
      </c>
      <c r="B76" s="23">
        <v>4</v>
      </c>
      <c r="C76" s="15">
        <v>9532</v>
      </c>
      <c r="D76" s="81">
        <v>2</v>
      </c>
      <c r="E76" s="4">
        <v>3</v>
      </c>
      <c r="F76" s="15" t="s">
        <v>228</v>
      </c>
      <c r="G76" s="15" t="s">
        <v>226</v>
      </c>
      <c r="H76" s="15">
        <v>1959</v>
      </c>
      <c r="I76" s="15" t="s">
        <v>227</v>
      </c>
    </row>
    <row r="77" spans="1:9" x14ac:dyDescent="0.3">
      <c r="A77" s="23">
        <v>8</v>
      </c>
      <c r="B77" s="23">
        <v>6</v>
      </c>
      <c r="C77" s="15">
        <v>9532</v>
      </c>
      <c r="D77" s="81">
        <v>10</v>
      </c>
      <c r="E77" s="4">
        <v>3</v>
      </c>
      <c r="F77" s="15" t="s">
        <v>228</v>
      </c>
      <c r="G77" s="15" t="s">
        <v>226</v>
      </c>
      <c r="H77" s="15">
        <v>1959</v>
      </c>
      <c r="I77" s="15" t="s">
        <v>227</v>
      </c>
    </row>
    <row r="78" spans="1:9" x14ac:dyDescent="0.3">
      <c r="A78" s="23">
        <v>8</v>
      </c>
      <c r="B78" s="23">
        <v>8</v>
      </c>
      <c r="C78" s="15">
        <v>9532</v>
      </c>
      <c r="D78" s="81">
        <v>13</v>
      </c>
      <c r="E78" s="4">
        <v>3</v>
      </c>
      <c r="F78" s="15" t="s">
        <v>228</v>
      </c>
      <c r="G78" s="15" t="s">
        <v>226</v>
      </c>
      <c r="H78" s="15">
        <v>1959</v>
      </c>
      <c r="I78" s="15" t="s">
        <v>227</v>
      </c>
    </row>
    <row r="79" spans="1:9" x14ac:dyDescent="0.3">
      <c r="A79" s="23">
        <v>8</v>
      </c>
      <c r="B79" s="23">
        <v>10</v>
      </c>
      <c r="C79" s="15">
        <v>9532</v>
      </c>
      <c r="D79" s="81">
        <v>9</v>
      </c>
      <c r="E79" s="4">
        <v>3</v>
      </c>
      <c r="F79" s="15" t="s">
        <v>228</v>
      </c>
      <c r="G79" s="15" t="s">
        <v>226</v>
      </c>
      <c r="H79" s="15">
        <v>1959</v>
      </c>
      <c r="I79" s="15" t="s">
        <v>227</v>
      </c>
    </row>
    <row r="80" spans="1:9" x14ac:dyDescent="0.3">
      <c r="A80" s="23">
        <v>10</v>
      </c>
      <c r="B80" s="23">
        <v>6</v>
      </c>
      <c r="C80" s="15">
        <v>9532</v>
      </c>
      <c r="D80" s="81">
        <v>1</v>
      </c>
      <c r="E80" s="4">
        <v>3</v>
      </c>
      <c r="F80" s="15" t="s">
        <v>228</v>
      </c>
      <c r="G80" s="15" t="s">
        <v>226</v>
      </c>
      <c r="H80" s="15">
        <v>1959</v>
      </c>
      <c r="I80" s="15" t="s">
        <v>227</v>
      </c>
    </row>
    <row r="81" spans="1:9" x14ac:dyDescent="0.3">
      <c r="A81" s="23">
        <v>10</v>
      </c>
      <c r="B81" s="23">
        <v>8</v>
      </c>
      <c r="C81" s="15">
        <v>9532</v>
      </c>
      <c r="D81" s="81">
        <v>6</v>
      </c>
      <c r="E81" s="4">
        <v>3</v>
      </c>
      <c r="F81" s="15" t="s">
        <v>228</v>
      </c>
      <c r="G81" s="15" t="s">
        <v>226</v>
      </c>
      <c r="H81" s="15">
        <v>1959</v>
      </c>
      <c r="I81" s="15" t="s">
        <v>227</v>
      </c>
    </row>
    <row r="82" spans="1:9" x14ac:dyDescent="0.3">
      <c r="A82" s="23">
        <v>10</v>
      </c>
      <c r="B82" s="23">
        <v>10</v>
      </c>
      <c r="C82" s="15">
        <v>9532</v>
      </c>
      <c r="D82" s="81">
        <v>6</v>
      </c>
      <c r="E82" s="4">
        <v>3</v>
      </c>
      <c r="F82" s="15" t="s">
        <v>228</v>
      </c>
      <c r="G82" s="15" t="s">
        <v>226</v>
      </c>
      <c r="H82" s="15">
        <v>1959</v>
      </c>
      <c r="I82" s="15" t="s">
        <v>227</v>
      </c>
    </row>
    <row r="83" spans="1:9" x14ac:dyDescent="0.3">
      <c r="A83" s="23">
        <v>0</v>
      </c>
      <c r="B83" s="23">
        <v>0</v>
      </c>
      <c r="C83" s="15">
        <v>918</v>
      </c>
      <c r="D83" s="81">
        <v>18</v>
      </c>
      <c r="E83" s="4">
        <v>1</v>
      </c>
      <c r="F83" s="15" t="s">
        <v>229</v>
      </c>
      <c r="G83" s="15" t="s">
        <v>226</v>
      </c>
      <c r="H83" s="15">
        <v>1959</v>
      </c>
      <c r="I83" s="15" t="s">
        <v>227</v>
      </c>
    </row>
    <row r="84" spans="1:9" x14ac:dyDescent="0.3">
      <c r="A84" s="23">
        <v>0</v>
      </c>
      <c r="B84" s="23">
        <v>2</v>
      </c>
      <c r="C84" s="15">
        <v>918</v>
      </c>
      <c r="D84" s="81">
        <v>34</v>
      </c>
      <c r="E84" s="4">
        <v>1</v>
      </c>
      <c r="F84" s="15" t="s">
        <v>229</v>
      </c>
      <c r="G84" s="15" t="s">
        <v>226</v>
      </c>
      <c r="H84" s="15">
        <v>1959</v>
      </c>
      <c r="I84" s="15" t="s">
        <v>227</v>
      </c>
    </row>
    <row r="85" spans="1:9" x14ac:dyDescent="0.3">
      <c r="A85" s="23">
        <v>0</v>
      </c>
      <c r="B85" s="23">
        <v>4</v>
      </c>
      <c r="C85" s="15">
        <v>918</v>
      </c>
      <c r="D85" s="81">
        <v>58</v>
      </c>
      <c r="E85" s="4">
        <v>1</v>
      </c>
      <c r="F85" s="15" t="s">
        <v>229</v>
      </c>
      <c r="G85" s="15" t="s">
        <v>226</v>
      </c>
      <c r="H85" s="15">
        <v>1959</v>
      </c>
      <c r="I85" s="15" t="s">
        <v>227</v>
      </c>
    </row>
    <row r="86" spans="1:9" x14ac:dyDescent="0.3">
      <c r="A86" s="23">
        <v>0</v>
      </c>
      <c r="B86" s="23">
        <v>6</v>
      </c>
      <c r="C86" s="15">
        <v>918</v>
      </c>
      <c r="D86" s="81">
        <v>29</v>
      </c>
      <c r="E86" s="4">
        <v>1</v>
      </c>
      <c r="F86" s="15" t="s">
        <v>229</v>
      </c>
      <c r="G86" s="15" t="s">
        <v>226</v>
      </c>
      <c r="H86" s="15">
        <v>1959</v>
      </c>
      <c r="I86" s="15" t="s">
        <v>227</v>
      </c>
    </row>
    <row r="87" spans="1:9" x14ac:dyDescent="0.3">
      <c r="A87" s="23">
        <v>0</v>
      </c>
      <c r="B87" s="23">
        <v>8</v>
      </c>
      <c r="C87" s="15">
        <v>918</v>
      </c>
      <c r="D87" s="81">
        <v>24</v>
      </c>
      <c r="E87" s="4">
        <v>1</v>
      </c>
      <c r="F87" s="15" t="s">
        <v>229</v>
      </c>
      <c r="G87" s="15" t="s">
        <v>226</v>
      </c>
      <c r="H87" s="15">
        <v>1959</v>
      </c>
      <c r="I87" s="15" t="s">
        <v>227</v>
      </c>
    </row>
    <row r="88" spans="1:9" x14ac:dyDescent="0.3">
      <c r="A88" s="23">
        <v>0</v>
      </c>
      <c r="B88" s="23">
        <v>10</v>
      </c>
      <c r="C88" s="15">
        <v>918</v>
      </c>
      <c r="D88" s="81">
        <v>12</v>
      </c>
      <c r="E88" s="4">
        <v>1</v>
      </c>
      <c r="F88" s="15" t="s">
        <v>229</v>
      </c>
      <c r="G88" s="15" t="s">
        <v>226</v>
      </c>
      <c r="H88" s="15">
        <v>1959</v>
      </c>
      <c r="I88" s="15" t="s">
        <v>227</v>
      </c>
    </row>
    <row r="89" spans="1:9" x14ac:dyDescent="0.3">
      <c r="A89" s="23">
        <v>2</v>
      </c>
      <c r="B89" s="23">
        <v>0</v>
      </c>
      <c r="C89" s="15">
        <v>918</v>
      </c>
      <c r="D89" s="81">
        <v>2</v>
      </c>
      <c r="E89" s="4">
        <v>1</v>
      </c>
      <c r="F89" s="15" t="s">
        <v>229</v>
      </c>
      <c r="G89" s="15" t="s">
        <v>226</v>
      </c>
      <c r="H89" s="15">
        <v>1959</v>
      </c>
      <c r="I89" s="15" t="s">
        <v>227</v>
      </c>
    </row>
    <row r="90" spans="1:9" x14ac:dyDescent="0.3">
      <c r="A90" s="23">
        <v>2</v>
      </c>
      <c r="B90" s="23">
        <v>2</v>
      </c>
      <c r="C90" s="15">
        <v>918</v>
      </c>
      <c r="D90" s="81">
        <v>3</v>
      </c>
      <c r="E90" s="4">
        <v>1</v>
      </c>
      <c r="F90" s="15" t="s">
        <v>229</v>
      </c>
      <c r="G90" s="15" t="s">
        <v>226</v>
      </c>
      <c r="H90" s="15">
        <v>1959</v>
      </c>
      <c r="I90" s="15" t="s">
        <v>227</v>
      </c>
    </row>
    <row r="91" spans="1:9" x14ac:dyDescent="0.3">
      <c r="A91" s="23">
        <v>2</v>
      </c>
      <c r="B91" s="23">
        <v>4</v>
      </c>
      <c r="C91" s="15">
        <v>918</v>
      </c>
      <c r="D91" s="81">
        <v>6</v>
      </c>
      <c r="E91" s="4">
        <v>1</v>
      </c>
      <c r="F91" s="15" t="s">
        <v>229</v>
      </c>
      <c r="G91" s="15" t="s">
        <v>226</v>
      </c>
      <c r="H91" s="15">
        <v>1959</v>
      </c>
      <c r="I91" s="15" t="s">
        <v>227</v>
      </c>
    </row>
    <row r="92" spans="1:9" x14ac:dyDescent="0.3">
      <c r="A92" s="23">
        <v>2</v>
      </c>
      <c r="B92" s="23">
        <v>6</v>
      </c>
      <c r="C92" s="15">
        <v>918</v>
      </c>
      <c r="D92" s="81">
        <v>11</v>
      </c>
      <c r="E92" s="4">
        <v>1</v>
      </c>
      <c r="F92" s="15" t="s">
        <v>229</v>
      </c>
      <c r="G92" s="15" t="s">
        <v>226</v>
      </c>
      <c r="H92" s="15">
        <v>1959</v>
      </c>
      <c r="I92" s="15" t="s">
        <v>227</v>
      </c>
    </row>
    <row r="93" spans="1:9" x14ac:dyDescent="0.3">
      <c r="A93" s="23">
        <v>2</v>
      </c>
      <c r="B93" s="23">
        <v>8</v>
      </c>
      <c r="C93" s="15">
        <v>918</v>
      </c>
      <c r="D93" s="81">
        <v>8</v>
      </c>
      <c r="E93" s="4">
        <v>1</v>
      </c>
      <c r="F93" s="15" t="s">
        <v>229</v>
      </c>
      <c r="G93" s="15" t="s">
        <v>226</v>
      </c>
      <c r="H93" s="15">
        <v>1959</v>
      </c>
      <c r="I93" s="15" t="s">
        <v>227</v>
      </c>
    </row>
    <row r="94" spans="1:9" x14ac:dyDescent="0.3">
      <c r="A94" s="23">
        <v>2</v>
      </c>
      <c r="B94" s="23">
        <v>10</v>
      </c>
      <c r="C94" s="15">
        <v>918</v>
      </c>
      <c r="D94" s="81">
        <v>5</v>
      </c>
      <c r="E94" s="4">
        <v>1</v>
      </c>
      <c r="F94" s="15" t="s">
        <v>229</v>
      </c>
      <c r="G94" s="15" t="s">
        <v>226</v>
      </c>
      <c r="H94" s="15">
        <v>1959</v>
      </c>
      <c r="I94" s="15" t="s">
        <v>227</v>
      </c>
    </row>
    <row r="95" spans="1:9" x14ac:dyDescent="0.3">
      <c r="A95" s="23">
        <v>4</v>
      </c>
      <c r="B95" s="23">
        <v>2</v>
      </c>
      <c r="C95" s="15">
        <v>918</v>
      </c>
      <c r="D95" s="81">
        <v>1</v>
      </c>
      <c r="E95" s="4">
        <v>1</v>
      </c>
      <c r="F95" s="15" t="s">
        <v>229</v>
      </c>
      <c r="G95" s="15" t="s">
        <v>226</v>
      </c>
      <c r="H95" s="15">
        <v>1959</v>
      </c>
      <c r="I95" s="15" t="s">
        <v>227</v>
      </c>
    </row>
    <row r="96" spans="1:9" x14ac:dyDescent="0.3">
      <c r="A96" s="23">
        <v>4</v>
      </c>
      <c r="B96" s="23">
        <v>4</v>
      </c>
      <c r="C96" s="15">
        <v>918</v>
      </c>
      <c r="D96" s="81">
        <v>1</v>
      </c>
      <c r="E96" s="4">
        <v>1</v>
      </c>
      <c r="F96" s="15" t="s">
        <v>229</v>
      </c>
      <c r="G96" s="15" t="s">
        <v>226</v>
      </c>
      <c r="H96" s="15">
        <v>1959</v>
      </c>
      <c r="I96" s="15" t="s">
        <v>227</v>
      </c>
    </row>
    <row r="97" spans="1:9" x14ac:dyDescent="0.3">
      <c r="A97" s="23">
        <v>4</v>
      </c>
      <c r="B97" s="23">
        <v>6</v>
      </c>
      <c r="C97" s="15">
        <v>918</v>
      </c>
      <c r="D97" s="81">
        <v>8</v>
      </c>
      <c r="E97" s="4">
        <v>1</v>
      </c>
      <c r="F97" s="15" t="s">
        <v>229</v>
      </c>
      <c r="G97" s="15" t="s">
        <v>226</v>
      </c>
      <c r="H97" s="15">
        <v>1959</v>
      </c>
      <c r="I97" s="15" t="s">
        <v>227</v>
      </c>
    </row>
    <row r="98" spans="1:9" x14ac:dyDescent="0.3">
      <c r="A98" s="23">
        <v>4</v>
      </c>
      <c r="B98" s="23">
        <v>10</v>
      </c>
      <c r="C98" s="15">
        <v>918</v>
      </c>
      <c r="D98" s="81">
        <v>6</v>
      </c>
      <c r="E98" s="4">
        <v>1</v>
      </c>
      <c r="F98" s="15" t="s">
        <v>229</v>
      </c>
      <c r="G98" s="15" t="s">
        <v>226</v>
      </c>
      <c r="H98" s="15">
        <v>1959</v>
      </c>
      <c r="I98" s="15" t="s">
        <v>227</v>
      </c>
    </row>
    <row r="99" spans="1:9" x14ac:dyDescent="0.3">
      <c r="A99" s="23">
        <v>6</v>
      </c>
      <c r="B99" s="23">
        <v>2</v>
      </c>
      <c r="C99" s="15">
        <v>918</v>
      </c>
      <c r="D99" s="81">
        <v>1</v>
      </c>
      <c r="E99" s="4">
        <v>1</v>
      </c>
      <c r="F99" s="15" t="s">
        <v>229</v>
      </c>
      <c r="G99" s="15" t="s">
        <v>226</v>
      </c>
      <c r="H99" s="15">
        <v>1959</v>
      </c>
      <c r="I99" s="15" t="s">
        <v>227</v>
      </c>
    </row>
    <row r="100" spans="1:9" x14ac:dyDescent="0.3">
      <c r="A100" s="23">
        <v>6</v>
      </c>
      <c r="B100" s="23">
        <v>4</v>
      </c>
      <c r="C100" s="15">
        <v>918</v>
      </c>
      <c r="D100" s="81">
        <v>2</v>
      </c>
      <c r="E100" s="4">
        <v>1</v>
      </c>
      <c r="F100" s="15" t="s">
        <v>229</v>
      </c>
      <c r="G100" s="15" t="s">
        <v>226</v>
      </c>
      <c r="H100" s="15">
        <v>1959</v>
      </c>
      <c r="I100" s="15" t="s">
        <v>227</v>
      </c>
    </row>
    <row r="101" spans="1:9" x14ac:dyDescent="0.3">
      <c r="A101" s="23">
        <v>6</v>
      </c>
      <c r="B101" s="23">
        <v>6</v>
      </c>
      <c r="C101" s="15">
        <v>918</v>
      </c>
      <c r="D101" s="81">
        <v>1</v>
      </c>
      <c r="E101" s="4">
        <v>1</v>
      </c>
      <c r="F101" s="15" t="s">
        <v>229</v>
      </c>
      <c r="G101" s="15" t="s">
        <v>226</v>
      </c>
      <c r="H101" s="15">
        <v>1959</v>
      </c>
      <c r="I101" s="15" t="s">
        <v>227</v>
      </c>
    </row>
    <row r="102" spans="1:9" x14ac:dyDescent="0.3">
      <c r="A102" s="23">
        <v>6</v>
      </c>
      <c r="B102" s="23">
        <v>8</v>
      </c>
      <c r="C102" s="15">
        <v>918</v>
      </c>
      <c r="D102" s="81">
        <v>4</v>
      </c>
      <c r="E102" s="4">
        <v>1</v>
      </c>
      <c r="F102" s="15" t="s">
        <v>229</v>
      </c>
      <c r="G102" s="15" t="s">
        <v>226</v>
      </c>
      <c r="H102" s="15">
        <v>1959</v>
      </c>
      <c r="I102" s="15" t="s">
        <v>227</v>
      </c>
    </row>
    <row r="103" spans="1:9" x14ac:dyDescent="0.3">
      <c r="A103" s="23">
        <v>6</v>
      </c>
      <c r="B103" s="23">
        <v>10</v>
      </c>
      <c r="C103" s="15">
        <v>918</v>
      </c>
      <c r="D103" s="81">
        <v>5</v>
      </c>
      <c r="E103" s="4">
        <v>1</v>
      </c>
      <c r="F103" s="15" t="s">
        <v>229</v>
      </c>
      <c r="G103" s="15" t="s">
        <v>226</v>
      </c>
      <c r="H103" s="15">
        <v>1959</v>
      </c>
      <c r="I103" s="15" t="s">
        <v>227</v>
      </c>
    </row>
    <row r="104" spans="1:9" x14ac:dyDescent="0.3">
      <c r="A104" s="23">
        <v>8</v>
      </c>
      <c r="B104" s="23">
        <v>4</v>
      </c>
      <c r="C104" s="15">
        <v>918</v>
      </c>
      <c r="D104" s="81">
        <v>1</v>
      </c>
      <c r="E104" s="4">
        <v>1</v>
      </c>
      <c r="F104" s="15" t="s">
        <v>229</v>
      </c>
      <c r="G104" s="15" t="s">
        <v>226</v>
      </c>
      <c r="H104" s="15">
        <v>1959</v>
      </c>
      <c r="I104" s="15" t="s">
        <v>227</v>
      </c>
    </row>
    <row r="105" spans="1:9" x14ac:dyDescent="0.3">
      <c r="A105" s="23">
        <v>8</v>
      </c>
      <c r="B105" s="23">
        <v>6</v>
      </c>
      <c r="C105" s="15">
        <v>918</v>
      </c>
      <c r="D105" s="81">
        <v>1</v>
      </c>
      <c r="E105" s="4">
        <v>1</v>
      </c>
      <c r="F105" s="15" t="s">
        <v>229</v>
      </c>
      <c r="G105" s="15" t="s">
        <v>226</v>
      </c>
      <c r="H105" s="15">
        <v>1959</v>
      </c>
      <c r="I105" s="15" t="s">
        <v>227</v>
      </c>
    </row>
    <row r="106" spans="1:9" x14ac:dyDescent="0.3">
      <c r="A106" s="23">
        <v>8</v>
      </c>
      <c r="B106" s="23">
        <v>8</v>
      </c>
      <c r="C106" s="15">
        <v>918</v>
      </c>
      <c r="D106" s="81">
        <v>4</v>
      </c>
      <c r="E106" s="4">
        <v>1</v>
      </c>
      <c r="F106" s="15" t="s">
        <v>229</v>
      </c>
      <c r="G106" s="15" t="s">
        <v>226</v>
      </c>
      <c r="H106" s="15">
        <v>1959</v>
      </c>
      <c r="I106" s="15" t="s">
        <v>227</v>
      </c>
    </row>
    <row r="107" spans="1:9" x14ac:dyDescent="0.3">
      <c r="A107" s="23">
        <v>8</v>
      </c>
      <c r="B107" s="23">
        <v>10</v>
      </c>
      <c r="C107" s="15">
        <v>918</v>
      </c>
      <c r="D107" s="81">
        <v>3</v>
      </c>
      <c r="E107" s="4">
        <v>1</v>
      </c>
      <c r="F107" s="15" t="s">
        <v>229</v>
      </c>
      <c r="G107" s="15" t="s">
        <v>226</v>
      </c>
      <c r="H107" s="15">
        <v>1959</v>
      </c>
      <c r="I107" s="15" t="s">
        <v>227</v>
      </c>
    </row>
    <row r="108" spans="1:9" x14ac:dyDescent="0.3">
      <c r="A108" s="23">
        <v>10</v>
      </c>
      <c r="B108" s="23">
        <v>8</v>
      </c>
      <c r="C108" s="15">
        <v>918</v>
      </c>
      <c r="D108" s="81">
        <v>1</v>
      </c>
      <c r="E108" s="4">
        <v>1</v>
      </c>
      <c r="F108" s="15" t="s">
        <v>229</v>
      </c>
      <c r="G108" s="15" t="s">
        <v>226</v>
      </c>
      <c r="H108" s="15">
        <v>1959</v>
      </c>
      <c r="I108" s="15" t="s">
        <v>227</v>
      </c>
    </row>
    <row r="109" spans="1:9" x14ac:dyDescent="0.3">
      <c r="A109" s="23">
        <v>10</v>
      </c>
      <c r="B109" s="23">
        <v>10</v>
      </c>
      <c r="C109" s="15">
        <v>918</v>
      </c>
      <c r="D109" s="81">
        <v>6</v>
      </c>
      <c r="E109" s="4">
        <v>1</v>
      </c>
      <c r="F109" s="15" t="s">
        <v>229</v>
      </c>
      <c r="G109" s="15" t="s">
        <v>226</v>
      </c>
      <c r="H109" s="15">
        <v>1959</v>
      </c>
      <c r="I109" s="15" t="s">
        <v>227</v>
      </c>
    </row>
    <row r="110" spans="1:9" x14ac:dyDescent="0.3">
      <c r="A110" s="23">
        <v>0</v>
      </c>
      <c r="B110" s="23">
        <v>0</v>
      </c>
      <c r="C110" s="15">
        <v>918</v>
      </c>
      <c r="D110" s="81">
        <v>13</v>
      </c>
      <c r="E110" s="4">
        <v>2</v>
      </c>
      <c r="F110" s="15" t="s">
        <v>229</v>
      </c>
      <c r="G110" s="15" t="s">
        <v>226</v>
      </c>
      <c r="H110" s="15">
        <v>1959</v>
      </c>
      <c r="I110" s="15" t="s">
        <v>227</v>
      </c>
    </row>
    <row r="111" spans="1:9" x14ac:dyDescent="0.3">
      <c r="A111" s="23">
        <v>0</v>
      </c>
      <c r="B111" s="23">
        <v>2</v>
      </c>
      <c r="C111" s="15">
        <v>918</v>
      </c>
      <c r="D111" s="81">
        <v>12</v>
      </c>
      <c r="E111" s="4">
        <v>2</v>
      </c>
      <c r="F111" s="15" t="s">
        <v>229</v>
      </c>
      <c r="G111" s="15" t="s">
        <v>226</v>
      </c>
      <c r="H111" s="15">
        <v>1959</v>
      </c>
      <c r="I111" s="15" t="s">
        <v>227</v>
      </c>
    </row>
    <row r="112" spans="1:9" x14ac:dyDescent="0.3">
      <c r="A112" s="23">
        <v>0</v>
      </c>
      <c r="B112" s="23">
        <v>4</v>
      </c>
      <c r="C112" s="15">
        <v>918</v>
      </c>
      <c r="D112" s="81">
        <v>27</v>
      </c>
      <c r="E112" s="4">
        <v>2</v>
      </c>
      <c r="F112" s="15" t="s">
        <v>229</v>
      </c>
      <c r="G112" s="15" t="s">
        <v>226</v>
      </c>
      <c r="H112" s="15">
        <v>1959</v>
      </c>
      <c r="I112" s="15" t="s">
        <v>227</v>
      </c>
    </row>
    <row r="113" spans="1:9" x14ac:dyDescent="0.3">
      <c r="A113" s="23">
        <v>0</v>
      </c>
      <c r="B113" s="23">
        <v>6</v>
      </c>
      <c r="C113" s="15">
        <v>918</v>
      </c>
      <c r="D113" s="81">
        <v>23</v>
      </c>
      <c r="E113" s="4">
        <v>2</v>
      </c>
      <c r="F113" s="15" t="s">
        <v>229</v>
      </c>
      <c r="G113" s="15" t="s">
        <v>226</v>
      </c>
      <c r="H113" s="15">
        <v>1959</v>
      </c>
      <c r="I113" s="15" t="s">
        <v>227</v>
      </c>
    </row>
    <row r="114" spans="1:9" x14ac:dyDescent="0.3">
      <c r="A114" s="23">
        <v>0</v>
      </c>
      <c r="B114" s="23">
        <v>8</v>
      </c>
      <c r="C114" s="15">
        <v>918</v>
      </c>
      <c r="D114" s="81">
        <v>20</v>
      </c>
      <c r="E114" s="4">
        <v>2</v>
      </c>
      <c r="F114" s="15" t="s">
        <v>229</v>
      </c>
      <c r="G114" s="15" t="s">
        <v>226</v>
      </c>
      <c r="H114" s="15">
        <v>1959</v>
      </c>
      <c r="I114" s="15" t="s">
        <v>227</v>
      </c>
    </row>
    <row r="115" spans="1:9" x14ac:dyDescent="0.3">
      <c r="A115" s="23">
        <v>0</v>
      </c>
      <c r="B115" s="23">
        <v>10</v>
      </c>
      <c r="C115" s="15">
        <v>918</v>
      </c>
      <c r="D115" s="81">
        <v>9</v>
      </c>
      <c r="E115" s="4">
        <v>2</v>
      </c>
      <c r="F115" s="15" t="s">
        <v>229</v>
      </c>
      <c r="G115" s="15" t="s">
        <v>226</v>
      </c>
      <c r="H115" s="15">
        <v>1959</v>
      </c>
      <c r="I115" s="15" t="s">
        <v>227</v>
      </c>
    </row>
    <row r="116" spans="1:9" x14ac:dyDescent="0.3">
      <c r="A116" s="23">
        <v>2</v>
      </c>
      <c r="B116" s="23">
        <v>0</v>
      </c>
      <c r="C116" s="15">
        <v>918</v>
      </c>
      <c r="D116" s="81">
        <v>6</v>
      </c>
      <c r="E116" s="4">
        <v>2</v>
      </c>
      <c r="F116" s="15" t="s">
        <v>229</v>
      </c>
      <c r="G116" s="15" t="s">
        <v>226</v>
      </c>
      <c r="H116" s="15">
        <v>1959</v>
      </c>
      <c r="I116" s="15" t="s">
        <v>227</v>
      </c>
    </row>
    <row r="117" spans="1:9" x14ac:dyDescent="0.3">
      <c r="A117" s="23">
        <v>2</v>
      </c>
      <c r="B117" s="23">
        <v>2</v>
      </c>
      <c r="C117" s="15">
        <v>918</v>
      </c>
      <c r="D117" s="81">
        <v>8</v>
      </c>
      <c r="E117" s="4">
        <v>2</v>
      </c>
      <c r="F117" s="15" t="s">
        <v>229</v>
      </c>
      <c r="G117" s="15" t="s">
        <v>226</v>
      </c>
      <c r="H117" s="15">
        <v>1959</v>
      </c>
      <c r="I117" s="15" t="s">
        <v>227</v>
      </c>
    </row>
    <row r="118" spans="1:9" x14ac:dyDescent="0.3">
      <c r="A118" s="23">
        <v>2</v>
      </c>
      <c r="B118" s="23">
        <v>4</v>
      </c>
      <c r="C118" s="15">
        <v>918</v>
      </c>
      <c r="D118" s="81">
        <v>13</v>
      </c>
      <c r="E118" s="4">
        <v>2</v>
      </c>
      <c r="F118" s="15" t="s">
        <v>229</v>
      </c>
      <c r="G118" s="15" t="s">
        <v>226</v>
      </c>
      <c r="H118" s="15">
        <v>1959</v>
      </c>
      <c r="I118" s="15" t="s">
        <v>227</v>
      </c>
    </row>
    <row r="119" spans="1:9" x14ac:dyDescent="0.3">
      <c r="A119" s="23">
        <v>2</v>
      </c>
      <c r="B119" s="23">
        <v>6</v>
      </c>
      <c r="C119" s="15">
        <v>918</v>
      </c>
      <c r="D119" s="81">
        <v>8</v>
      </c>
      <c r="E119" s="4">
        <v>2</v>
      </c>
      <c r="F119" s="15" t="s">
        <v>229</v>
      </c>
      <c r="G119" s="15" t="s">
        <v>226</v>
      </c>
      <c r="H119" s="15">
        <v>1959</v>
      </c>
      <c r="I119" s="15" t="s">
        <v>227</v>
      </c>
    </row>
    <row r="120" spans="1:9" x14ac:dyDescent="0.3">
      <c r="A120" s="23">
        <v>2</v>
      </c>
      <c r="B120" s="23">
        <v>8</v>
      </c>
      <c r="C120" s="15">
        <v>918</v>
      </c>
      <c r="D120" s="81">
        <v>9</v>
      </c>
      <c r="E120" s="4">
        <v>2</v>
      </c>
      <c r="F120" s="15" t="s">
        <v>229</v>
      </c>
      <c r="G120" s="15" t="s">
        <v>226</v>
      </c>
      <c r="H120" s="15">
        <v>1959</v>
      </c>
      <c r="I120" s="15" t="s">
        <v>227</v>
      </c>
    </row>
    <row r="121" spans="1:9" x14ac:dyDescent="0.3">
      <c r="A121" s="23">
        <v>2</v>
      </c>
      <c r="B121" s="23">
        <v>10</v>
      </c>
      <c r="C121" s="15">
        <v>918</v>
      </c>
      <c r="D121" s="81">
        <v>16</v>
      </c>
      <c r="E121" s="4">
        <v>2</v>
      </c>
      <c r="F121" s="15" t="s">
        <v>229</v>
      </c>
      <c r="G121" s="15" t="s">
        <v>226</v>
      </c>
      <c r="H121" s="15">
        <v>1959</v>
      </c>
      <c r="I121" s="15" t="s">
        <v>227</v>
      </c>
    </row>
    <row r="122" spans="1:9" x14ac:dyDescent="0.3">
      <c r="A122" s="23">
        <v>4</v>
      </c>
      <c r="B122" s="23">
        <v>2</v>
      </c>
      <c r="C122" s="15">
        <v>918</v>
      </c>
      <c r="D122" s="81">
        <v>3</v>
      </c>
      <c r="E122" s="4">
        <v>2</v>
      </c>
      <c r="F122" s="15" t="s">
        <v>229</v>
      </c>
      <c r="G122" s="15" t="s">
        <v>226</v>
      </c>
      <c r="H122" s="15">
        <v>1959</v>
      </c>
      <c r="I122" s="15" t="s">
        <v>227</v>
      </c>
    </row>
    <row r="123" spans="1:9" x14ac:dyDescent="0.3">
      <c r="A123" s="23">
        <v>4</v>
      </c>
      <c r="B123" s="23">
        <v>4</v>
      </c>
      <c r="C123" s="15">
        <v>918</v>
      </c>
      <c r="D123" s="81">
        <v>3</v>
      </c>
      <c r="E123" s="4">
        <v>2</v>
      </c>
      <c r="F123" s="15" t="s">
        <v>229</v>
      </c>
      <c r="G123" s="15" t="s">
        <v>226</v>
      </c>
      <c r="H123" s="15">
        <v>1959</v>
      </c>
      <c r="I123" s="15" t="s">
        <v>227</v>
      </c>
    </row>
    <row r="124" spans="1:9" x14ac:dyDescent="0.3">
      <c r="A124" s="23">
        <v>4</v>
      </c>
      <c r="B124" s="23">
        <v>6</v>
      </c>
      <c r="C124" s="15">
        <v>918</v>
      </c>
      <c r="D124" s="81">
        <v>7</v>
      </c>
      <c r="E124" s="4">
        <v>2</v>
      </c>
      <c r="F124" s="15" t="s">
        <v>229</v>
      </c>
      <c r="G124" s="15" t="s">
        <v>226</v>
      </c>
      <c r="H124" s="15">
        <v>1959</v>
      </c>
      <c r="I124" s="15" t="s">
        <v>227</v>
      </c>
    </row>
    <row r="125" spans="1:9" x14ac:dyDescent="0.3">
      <c r="A125" s="23">
        <v>4</v>
      </c>
      <c r="B125" s="23">
        <v>8</v>
      </c>
      <c r="C125" s="15">
        <v>918</v>
      </c>
      <c r="D125" s="81">
        <v>8</v>
      </c>
      <c r="E125" s="4">
        <v>2</v>
      </c>
      <c r="F125" s="15" t="s">
        <v>229</v>
      </c>
      <c r="G125" s="15" t="s">
        <v>226</v>
      </c>
      <c r="H125" s="15">
        <v>1959</v>
      </c>
      <c r="I125" s="15" t="s">
        <v>227</v>
      </c>
    </row>
    <row r="126" spans="1:9" x14ac:dyDescent="0.3">
      <c r="A126" s="23">
        <v>4</v>
      </c>
      <c r="B126" s="23">
        <v>10</v>
      </c>
      <c r="C126" s="15">
        <v>918</v>
      </c>
      <c r="D126" s="81">
        <v>18</v>
      </c>
      <c r="E126" s="4">
        <v>2</v>
      </c>
      <c r="F126" s="15" t="s">
        <v>229</v>
      </c>
      <c r="G126" s="15" t="s">
        <v>226</v>
      </c>
      <c r="H126" s="15">
        <v>1959</v>
      </c>
      <c r="I126" s="15" t="s">
        <v>227</v>
      </c>
    </row>
    <row r="127" spans="1:9" x14ac:dyDescent="0.3">
      <c r="A127" s="23">
        <v>6</v>
      </c>
      <c r="B127" s="23">
        <v>0</v>
      </c>
      <c r="C127" s="15">
        <v>918</v>
      </c>
      <c r="D127" s="81">
        <v>1</v>
      </c>
      <c r="E127" s="4">
        <v>2</v>
      </c>
      <c r="F127" s="15" t="s">
        <v>229</v>
      </c>
      <c r="G127" s="15" t="s">
        <v>226</v>
      </c>
      <c r="H127" s="15">
        <v>1959</v>
      </c>
      <c r="I127" s="15" t="s">
        <v>227</v>
      </c>
    </row>
    <row r="128" spans="1:9" x14ac:dyDescent="0.3">
      <c r="A128" s="23">
        <v>6</v>
      </c>
      <c r="B128" s="23">
        <v>4</v>
      </c>
      <c r="C128" s="15">
        <v>918</v>
      </c>
      <c r="D128" s="81">
        <v>2</v>
      </c>
      <c r="E128" s="4">
        <v>2</v>
      </c>
      <c r="F128" s="15" t="s">
        <v>229</v>
      </c>
      <c r="G128" s="15" t="s">
        <v>226</v>
      </c>
      <c r="H128" s="15">
        <v>1959</v>
      </c>
      <c r="I128" s="15" t="s">
        <v>227</v>
      </c>
    </row>
    <row r="129" spans="1:9" x14ac:dyDescent="0.3">
      <c r="A129" s="23">
        <v>6</v>
      </c>
      <c r="B129" s="23">
        <v>6</v>
      </c>
      <c r="C129" s="15">
        <v>918</v>
      </c>
      <c r="D129" s="81">
        <v>6</v>
      </c>
      <c r="E129" s="4">
        <v>2</v>
      </c>
      <c r="F129" s="15" t="s">
        <v>229</v>
      </c>
      <c r="G129" s="15" t="s">
        <v>226</v>
      </c>
      <c r="H129" s="15">
        <v>1959</v>
      </c>
      <c r="I129" s="15" t="s">
        <v>227</v>
      </c>
    </row>
    <row r="130" spans="1:9" x14ac:dyDescent="0.3">
      <c r="A130" s="23">
        <v>6</v>
      </c>
      <c r="B130" s="23">
        <v>8</v>
      </c>
      <c r="C130" s="15">
        <v>918</v>
      </c>
      <c r="D130" s="81">
        <v>7</v>
      </c>
      <c r="E130" s="4">
        <v>2</v>
      </c>
      <c r="F130" s="15" t="s">
        <v>229</v>
      </c>
      <c r="G130" s="15" t="s">
        <v>226</v>
      </c>
      <c r="H130" s="15">
        <v>1959</v>
      </c>
      <c r="I130" s="15" t="s">
        <v>227</v>
      </c>
    </row>
    <row r="131" spans="1:9" x14ac:dyDescent="0.3">
      <c r="A131" s="23">
        <v>6</v>
      </c>
      <c r="B131" s="23">
        <v>10</v>
      </c>
      <c r="C131" s="15">
        <v>918</v>
      </c>
      <c r="D131" s="81">
        <v>8</v>
      </c>
      <c r="E131" s="4">
        <v>2</v>
      </c>
      <c r="F131" s="15" t="s">
        <v>229</v>
      </c>
      <c r="G131" s="15" t="s">
        <v>226</v>
      </c>
      <c r="H131" s="15">
        <v>1959</v>
      </c>
      <c r="I131" s="15" t="s">
        <v>227</v>
      </c>
    </row>
    <row r="132" spans="1:9" x14ac:dyDescent="0.3">
      <c r="A132" s="23">
        <v>8</v>
      </c>
      <c r="B132" s="23">
        <v>2</v>
      </c>
      <c r="C132" s="15">
        <v>918</v>
      </c>
      <c r="D132" s="81">
        <v>1</v>
      </c>
      <c r="E132" s="4">
        <v>2</v>
      </c>
      <c r="F132" s="15" t="s">
        <v>229</v>
      </c>
      <c r="G132" s="15" t="s">
        <v>226</v>
      </c>
      <c r="H132" s="15">
        <v>1959</v>
      </c>
      <c r="I132" s="15" t="s">
        <v>227</v>
      </c>
    </row>
    <row r="133" spans="1:9" x14ac:dyDescent="0.3">
      <c r="A133" s="23">
        <v>8</v>
      </c>
      <c r="B133" s="23">
        <v>6</v>
      </c>
      <c r="C133" s="15">
        <v>918</v>
      </c>
      <c r="D133" s="81">
        <v>1</v>
      </c>
      <c r="E133" s="4">
        <v>2</v>
      </c>
      <c r="F133" s="15" t="s">
        <v>229</v>
      </c>
      <c r="G133" s="15" t="s">
        <v>226</v>
      </c>
      <c r="H133" s="15">
        <v>1959</v>
      </c>
      <c r="I133" s="15" t="s">
        <v>227</v>
      </c>
    </row>
    <row r="134" spans="1:9" x14ac:dyDescent="0.3">
      <c r="A134" s="23">
        <v>8</v>
      </c>
      <c r="B134" s="23">
        <v>8</v>
      </c>
      <c r="C134" s="15">
        <v>918</v>
      </c>
      <c r="D134" s="81">
        <v>3</v>
      </c>
      <c r="E134" s="4">
        <v>2</v>
      </c>
      <c r="F134" s="15" t="s">
        <v>229</v>
      </c>
      <c r="G134" s="15" t="s">
        <v>226</v>
      </c>
      <c r="H134" s="15">
        <v>1959</v>
      </c>
      <c r="I134" s="15" t="s">
        <v>227</v>
      </c>
    </row>
    <row r="135" spans="1:9" x14ac:dyDescent="0.3">
      <c r="A135" s="23">
        <v>8</v>
      </c>
      <c r="B135" s="23">
        <v>10</v>
      </c>
      <c r="C135" s="15">
        <v>918</v>
      </c>
      <c r="D135" s="81">
        <v>12</v>
      </c>
      <c r="E135" s="4">
        <v>2</v>
      </c>
      <c r="F135" s="15" t="s">
        <v>229</v>
      </c>
      <c r="G135" s="15" t="s">
        <v>226</v>
      </c>
      <c r="H135" s="15">
        <v>1959</v>
      </c>
      <c r="I135" s="15" t="s">
        <v>227</v>
      </c>
    </row>
    <row r="136" spans="1:9" x14ac:dyDescent="0.3">
      <c r="A136" s="23">
        <v>10</v>
      </c>
      <c r="B136" s="23">
        <v>8</v>
      </c>
      <c r="C136" s="15">
        <v>918</v>
      </c>
      <c r="D136" s="81">
        <v>1</v>
      </c>
      <c r="E136" s="4">
        <v>2</v>
      </c>
      <c r="F136" s="15" t="s">
        <v>229</v>
      </c>
      <c r="G136" s="15" t="s">
        <v>226</v>
      </c>
      <c r="H136" s="15">
        <v>1959</v>
      </c>
      <c r="I136" s="15" t="s">
        <v>227</v>
      </c>
    </row>
    <row r="137" spans="1:9" x14ac:dyDescent="0.3">
      <c r="A137" s="23">
        <v>10</v>
      </c>
      <c r="B137" s="23">
        <v>10</v>
      </c>
      <c r="C137" s="15">
        <v>918</v>
      </c>
      <c r="D137" s="81">
        <v>10</v>
      </c>
      <c r="E137" s="4">
        <v>2</v>
      </c>
      <c r="F137" s="15" t="s">
        <v>229</v>
      </c>
      <c r="G137" s="15" t="s">
        <v>226</v>
      </c>
      <c r="H137" s="15">
        <v>1959</v>
      </c>
      <c r="I137" s="15" t="s">
        <v>227</v>
      </c>
    </row>
    <row r="138" spans="1:9" x14ac:dyDescent="0.3">
      <c r="A138" s="23">
        <v>0</v>
      </c>
      <c r="B138" s="23">
        <v>0</v>
      </c>
      <c r="C138" s="15">
        <v>918</v>
      </c>
      <c r="D138" s="81">
        <v>30</v>
      </c>
      <c r="E138" s="4">
        <v>3</v>
      </c>
      <c r="F138" s="15" t="s">
        <v>229</v>
      </c>
      <c r="G138" s="15" t="s">
        <v>226</v>
      </c>
      <c r="H138" s="15">
        <v>1959</v>
      </c>
      <c r="I138" s="15" t="s">
        <v>227</v>
      </c>
    </row>
    <row r="139" spans="1:9" x14ac:dyDescent="0.3">
      <c r="A139" s="23">
        <v>0</v>
      </c>
      <c r="B139" s="23">
        <v>2</v>
      </c>
      <c r="C139" s="15">
        <v>918</v>
      </c>
      <c r="D139" s="81">
        <v>32</v>
      </c>
      <c r="E139" s="4">
        <v>3</v>
      </c>
      <c r="F139" s="15" t="s">
        <v>229</v>
      </c>
      <c r="G139" s="15" t="s">
        <v>226</v>
      </c>
      <c r="H139" s="15">
        <v>1959</v>
      </c>
      <c r="I139" s="15" t="s">
        <v>227</v>
      </c>
    </row>
    <row r="140" spans="1:9" x14ac:dyDescent="0.3">
      <c r="A140" s="23">
        <v>0</v>
      </c>
      <c r="B140" s="23">
        <v>4</v>
      </c>
      <c r="C140" s="15">
        <v>918</v>
      </c>
      <c r="D140" s="81">
        <v>42</v>
      </c>
      <c r="E140" s="4">
        <v>3</v>
      </c>
      <c r="F140" s="15" t="s">
        <v>229</v>
      </c>
      <c r="G140" s="15" t="s">
        <v>226</v>
      </c>
      <c r="H140" s="15">
        <v>1959</v>
      </c>
      <c r="I140" s="15" t="s">
        <v>227</v>
      </c>
    </row>
    <row r="141" spans="1:9" x14ac:dyDescent="0.3">
      <c r="A141" s="23">
        <v>0</v>
      </c>
      <c r="B141" s="23">
        <v>6</v>
      </c>
      <c r="C141" s="15">
        <v>918</v>
      </c>
      <c r="D141" s="81">
        <v>48</v>
      </c>
      <c r="E141" s="4">
        <v>3</v>
      </c>
      <c r="F141" s="15" t="s">
        <v>229</v>
      </c>
      <c r="G141" s="15" t="s">
        <v>226</v>
      </c>
      <c r="H141" s="15">
        <v>1959</v>
      </c>
      <c r="I141" s="15" t="s">
        <v>227</v>
      </c>
    </row>
    <row r="142" spans="1:9" x14ac:dyDescent="0.3">
      <c r="A142" s="23">
        <v>0</v>
      </c>
      <c r="B142" s="23">
        <v>8</v>
      </c>
      <c r="C142" s="15">
        <v>918</v>
      </c>
      <c r="D142" s="81">
        <v>38</v>
      </c>
      <c r="E142" s="4">
        <v>3</v>
      </c>
      <c r="F142" s="15" t="s">
        <v>229</v>
      </c>
      <c r="G142" s="15" t="s">
        <v>226</v>
      </c>
      <c r="H142" s="15">
        <v>1959</v>
      </c>
      <c r="I142" s="15" t="s">
        <v>227</v>
      </c>
    </row>
    <row r="143" spans="1:9" x14ac:dyDescent="0.3">
      <c r="A143" s="23">
        <v>0</v>
      </c>
      <c r="B143" s="23">
        <v>10</v>
      </c>
      <c r="C143" s="15">
        <v>918</v>
      </c>
      <c r="D143" s="81">
        <v>17</v>
      </c>
      <c r="E143" s="4">
        <v>3</v>
      </c>
      <c r="F143" s="15" t="s">
        <v>229</v>
      </c>
      <c r="G143" s="15" t="s">
        <v>226</v>
      </c>
      <c r="H143" s="15">
        <v>1959</v>
      </c>
      <c r="I143" s="15" t="s">
        <v>227</v>
      </c>
    </row>
    <row r="144" spans="1:9" x14ac:dyDescent="0.3">
      <c r="A144" s="23">
        <v>2</v>
      </c>
      <c r="B144" s="23">
        <v>0</v>
      </c>
      <c r="C144" s="15">
        <v>918</v>
      </c>
      <c r="D144" s="81">
        <v>1</v>
      </c>
      <c r="E144" s="4">
        <v>3</v>
      </c>
      <c r="F144" s="15" t="s">
        <v>229</v>
      </c>
      <c r="G144" s="15" t="s">
        <v>226</v>
      </c>
      <c r="H144" s="15">
        <v>1959</v>
      </c>
      <c r="I144" s="15" t="s">
        <v>227</v>
      </c>
    </row>
    <row r="145" spans="1:25" x14ac:dyDescent="0.3">
      <c r="A145" s="23">
        <v>2</v>
      </c>
      <c r="B145" s="23">
        <v>4</v>
      </c>
      <c r="C145" s="15">
        <v>918</v>
      </c>
      <c r="D145" s="81">
        <v>6</v>
      </c>
      <c r="E145" s="4">
        <v>3</v>
      </c>
      <c r="F145" s="15" t="s">
        <v>229</v>
      </c>
      <c r="G145" s="15" t="s">
        <v>226</v>
      </c>
      <c r="H145" s="15">
        <v>1959</v>
      </c>
      <c r="I145" s="15" t="s">
        <v>227</v>
      </c>
    </row>
    <row r="146" spans="1:25" x14ac:dyDescent="0.3">
      <c r="A146" s="23">
        <v>2</v>
      </c>
      <c r="B146" s="23">
        <v>6</v>
      </c>
      <c r="C146" s="15">
        <v>918</v>
      </c>
      <c r="D146" s="81">
        <v>5</v>
      </c>
      <c r="E146" s="4">
        <v>3</v>
      </c>
      <c r="F146" s="15" t="s">
        <v>229</v>
      </c>
      <c r="G146" s="15" t="s">
        <v>226</v>
      </c>
      <c r="H146" s="15">
        <v>1959</v>
      </c>
      <c r="I146" s="15" t="s">
        <v>227</v>
      </c>
    </row>
    <row r="147" spans="1:25" x14ac:dyDescent="0.3">
      <c r="A147" s="23">
        <v>2</v>
      </c>
      <c r="B147" s="23">
        <v>8</v>
      </c>
      <c r="C147" s="15">
        <v>918</v>
      </c>
      <c r="D147" s="81">
        <v>5</v>
      </c>
      <c r="E147" s="4">
        <v>3</v>
      </c>
      <c r="F147" s="15" t="s">
        <v>229</v>
      </c>
      <c r="G147" s="15" t="s">
        <v>226</v>
      </c>
      <c r="H147" s="15">
        <v>1959</v>
      </c>
      <c r="I147" s="15" t="s">
        <v>227</v>
      </c>
    </row>
    <row r="148" spans="1:25" x14ac:dyDescent="0.3">
      <c r="A148" s="23">
        <v>2</v>
      </c>
      <c r="B148" s="23">
        <v>10</v>
      </c>
      <c r="C148" s="15">
        <v>918</v>
      </c>
      <c r="D148" s="81">
        <v>2</v>
      </c>
      <c r="E148" s="4">
        <v>3</v>
      </c>
      <c r="F148" s="15" t="s">
        <v>229</v>
      </c>
      <c r="G148" s="15" t="s">
        <v>226</v>
      </c>
      <c r="H148" s="15">
        <v>1959</v>
      </c>
      <c r="I148" s="15" t="s">
        <v>227</v>
      </c>
    </row>
    <row r="149" spans="1:25" x14ac:dyDescent="0.3">
      <c r="A149" s="23">
        <v>4</v>
      </c>
      <c r="B149" s="23">
        <v>4</v>
      </c>
      <c r="C149" s="15">
        <v>918</v>
      </c>
      <c r="D149" s="81">
        <v>1</v>
      </c>
      <c r="E149" s="4">
        <v>3</v>
      </c>
      <c r="F149" s="15" t="s">
        <v>229</v>
      </c>
      <c r="G149" s="15" t="s">
        <v>226</v>
      </c>
      <c r="H149" s="15">
        <v>1959</v>
      </c>
      <c r="I149" s="15" t="s">
        <v>227</v>
      </c>
    </row>
    <row r="150" spans="1:25" x14ac:dyDescent="0.3">
      <c r="A150" s="23">
        <v>4</v>
      </c>
      <c r="B150" s="23">
        <v>6</v>
      </c>
      <c r="C150" s="15">
        <v>918</v>
      </c>
      <c r="D150" s="81">
        <v>5</v>
      </c>
      <c r="E150" s="4">
        <v>3</v>
      </c>
      <c r="F150" s="15" t="s">
        <v>229</v>
      </c>
      <c r="G150" s="15" t="s">
        <v>226</v>
      </c>
      <c r="H150" s="15">
        <v>1959</v>
      </c>
      <c r="I150" s="15" t="s">
        <v>227</v>
      </c>
    </row>
    <row r="151" spans="1:25" x14ac:dyDescent="0.3">
      <c r="A151" s="23">
        <v>4</v>
      </c>
      <c r="B151" s="23">
        <v>8</v>
      </c>
      <c r="C151" s="15">
        <v>918</v>
      </c>
      <c r="D151" s="81">
        <v>4</v>
      </c>
      <c r="E151" s="4">
        <v>3</v>
      </c>
      <c r="F151" s="15" t="s">
        <v>229</v>
      </c>
      <c r="G151" s="15" t="s">
        <v>226</v>
      </c>
      <c r="H151" s="15">
        <v>1959</v>
      </c>
      <c r="I151" s="15" t="s">
        <v>227</v>
      </c>
    </row>
    <row r="152" spans="1:25" s="15" customFormat="1" x14ac:dyDescent="0.3">
      <c r="A152" s="23">
        <v>6</v>
      </c>
      <c r="B152" s="23">
        <v>2</v>
      </c>
      <c r="C152" s="15">
        <v>918</v>
      </c>
      <c r="D152" s="81">
        <v>1</v>
      </c>
      <c r="E152" s="4">
        <v>3</v>
      </c>
      <c r="F152" s="15" t="s">
        <v>229</v>
      </c>
      <c r="G152" s="15" t="s">
        <v>226</v>
      </c>
      <c r="H152" s="15">
        <v>1959</v>
      </c>
      <c r="I152" s="15" t="s">
        <v>227</v>
      </c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 spans="1:25" s="15" customFormat="1" x14ac:dyDescent="0.3">
      <c r="A153" s="23">
        <v>6</v>
      </c>
      <c r="B153" s="23">
        <v>4</v>
      </c>
      <c r="C153" s="15">
        <v>918</v>
      </c>
      <c r="D153" s="81">
        <v>3</v>
      </c>
      <c r="E153" s="4">
        <v>3</v>
      </c>
      <c r="F153" s="15" t="s">
        <v>229</v>
      </c>
      <c r="G153" s="15" t="s">
        <v>226</v>
      </c>
      <c r="H153" s="15">
        <v>1959</v>
      </c>
      <c r="I153" s="15" t="s">
        <v>227</v>
      </c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 spans="1:25" s="15" customFormat="1" x14ac:dyDescent="0.3">
      <c r="A154" s="23">
        <v>6</v>
      </c>
      <c r="B154" s="23">
        <v>6</v>
      </c>
      <c r="C154" s="15">
        <v>918</v>
      </c>
      <c r="D154" s="81">
        <v>2</v>
      </c>
      <c r="E154" s="4">
        <v>3</v>
      </c>
      <c r="F154" s="15" t="s">
        <v>229</v>
      </c>
      <c r="G154" s="15" t="s">
        <v>226</v>
      </c>
      <c r="H154" s="15">
        <v>1959</v>
      </c>
      <c r="I154" s="15" t="s">
        <v>227</v>
      </c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spans="1:25" s="15" customFormat="1" x14ac:dyDescent="0.3">
      <c r="A155" s="23">
        <v>6</v>
      </c>
      <c r="B155" s="23">
        <v>8</v>
      </c>
      <c r="C155" s="15">
        <v>918</v>
      </c>
      <c r="D155" s="81">
        <v>2</v>
      </c>
      <c r="E155" s="4">
        <v>3</v>
      </c>
      <c r="F155" s="15" t="s">
        <v>229</v>
      </c>
      <c r="G155" s="15" t="s">
        <v>226</v>
      </c>
      <c r="H155" s="15">
        <v>1959</v>
      </c>
      <c r="I155" s="15" t="s">
        <v>227</v>
      </c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 spans="1:25" s="15" customFormat="1" x14ac:dyDescent="0.3">
      <c r="A156" s="23">
        <v>8</v>
      </c>
      <c r="B156" s="23">
        <v>2</v>
      </c>
      <c r="C156" s="15">
        <v>918</v>
      </c>
      <c r="D156" s="81">
        <v>1</v>
      </c>
      <c r="E156" s="4">
        <v>3</v>
      </c>
      <c r="F156" s="15" t="s">
        <v>229</v>
      </c>
      <c r="G156" s="15" t="s">
        <v>226</v>
      </c>
      <c r="H156" s="15">
        <v>1959</v>
      </c>
      <c r="I156" s="15" t="s">
        <v>227</v>
      </c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 spans="1:25" s="15" customFormat="1" x14ac:dyDescent="0.3">
      <c r="A157" s="23">
        <v>8</v>
      </c>
      <c r="B157" s="23">
        <v>6</v>
      </c>
      <c r="C157" s="15">
        <v>918</v>
      </c>
      <c r="D157" s="81">
        <v>2</v>
      </c>
      <c r="E157" s="4">
        <v>3</v>
      </c>
      <c r="F157" s="15" t="s">
        <v>229</v>
      </c>
      <c r="G157" s="15" t="s">
        <v>226</v>
      </c>
      <c r="H157" s="15">
        <v>1959</v>
      </c>
      <c r="I157" s="15" t="s">
        <v>227</v>
      </c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spans="1:25" x14ac:dyDescent="0.3">
      <c r="A158" s="23">
        <v>8</v>
      </c>
      <c r="B158" s="23">
        <v>8</v>
      </c>
      <c r="C158" s="15">
        <v>918</v>
      </c>
      <c r="D158" s="81">
        <v>2</v>
      </c>
      <c r="E158" s="4">
        <v>3</v>
      </c>
      <c r="F158" s="15" t="s">
        <v>229</v>
      </c>
      <c r="G158" s="15" t="s">
        <v>226</v>
      </c>
      <c r="H158" s="15">
        <v>1959</v>
      </c>
      <c r="I158" s="15" t="s">
        <v>227</v>
      </c>
    </row>
    <row r="159" spans="1:25" x14ac:dyDescent="0.3">
      <c r="A159" s="23">
        <v>8</v>
      </c>
      <c r="B159" s="23">
        <v>10</v>
      </c>
      <c r="C159" s="15">
        <v>918</v>
      </c>
      <c r="D159" s="81">
        <v>2</v>
      </c>
      <c r="E159" s="4">
        <v>3</v>
      </c>
      <c r="F159" s="15" t="s">
        <v>229</v>
      </c>
      <c r="G159" s="15" t="s">
        <v>226</v>
      </c>
      <c r="H159" s="15">
        <v>1959</v>
      </c>
      <c r="I159" s="15" t="s">
        <v>227</v>
      </c>
    </row>
    <row r="160" spans="1:25" x14ac:dyDescent="0.3">
      <c r="A160" s="23">
        <v>10</v>
      </c>
      <c r="B160" s="23">
        <v>6</v>
      </c>
      <c r="C160" s="15">
        <v>918</v>
      </c>
      <c r="D160" s="81">
        <v>1</v>
      </c>
      <c r="E160" s="4">
        <v>3</v>
      </c>
      <c r="F160" s="15" t="s">
        <v>229</v>
      </c>
      <c r="G160" s="15" t="s">
        <v>226</v>
      </c>
      <c r="H160" s="15">
        <v>1959</v>
      </c>
      <c r="I160" s="15" t="s">
        <v>227</v>
      </c>
    </row>
    <row r="161" spans="1:9" x14ac:dyDescent="0.3">
      <c r="A161" s="23">
        <v>10</v>
      </c>
      <c r="B161" s="23">
        <v>10</v>
      </c>
      <c r="C161" s="15">
        <v>918</v>
      </c>
      <c r="D161" s="81">
        <v>3</v>
      </c>
      <c r="E161" s="4">
        <v>3</v>
      </c>
      <c r="F161" s="15" t="s">
        <v>229</v>
      </c>
      <c r="G161" s="15" t="s">
        <v>226</v>
      </c>
      <c r="H161" s="15">
        <v>1959</v>
      </c>
      <c r="I161" s="15" t="s">
        <v>227</v>
      </c>
    </row>
    <row r="162" spans="1:9" x14ac:dyDescent="0.3">
      <c r="A162" s="23">
        <v>0</v>
      </c>
      <c r="B162" s="23">
        <v>0</v>
      </c>
      <c r="C162" s="15">
        <v>365</v>
      </c>
      <c r="D162" s="81">
        <v>1</v>
      </c>
      <c r="E162" s="4">
        <v>1</v>
      </c>
      <c r="F162" s="15" t="s">
        <v>482</v>
      </c>
      <c r="G162" s="15" t="s">
        <v>480</v>
      </c>
      <c r="H162" s="15">
        <v>1967</v>
      </c>
      <c r="I162" s="15" t="s">
        <v>481</v>
      </c>
    </row>
    <row r="163" spans="1:9" x14ac:dyDescent="0.3">
      <c r="A163" s="23">
        <v>0</v>
      </c>
      <c r="B163" s="23">
        <v>3</v>
      </c>
      <c r="C163" s="15">
        <v>365</v>
      </c>
      <c r="D163" s="81">
        <v>1</v>
      </c>
      <c r="E163" s="4">
        <v>1</v>
      </c>
      <c r="F163" s="15" t="s">
        <v>482</v>
      </c>
      <c r="G163" s="15" t="s">
        <v>480</v>
      </c>
      <c r="H163" s="15">
        <v>1967</v>
      </c>
      <c r="I163" s="15" t="s">
        <v>481</v>
      </c>
    </row>
    <row r="164" spans="1:9" x14ac:dyDescent="0.3">
      <c r="A164" s="23">
        <v>0</v>
      </c>
      <c r="B164" s="23">
        <v>4</v>
      </c>
      <c r="C164" s="15">
        <v>365</v>
      </c>
      <c r="D164" s="81">
        <v>2</v>
      </c>
      <c r="E164" s="4">
        <v>1</v>
      </c>
      <c r="F164" s="15" t="s">
        <v>482</v>
      </c>
      <c r="G164" s="15" t="s">
        <v>480</v>
      </c>
      <c r="H164" s="15">
        <v>1967</v>
      </c>
      <c r="I164" s="15" t="s">
        <v>481</v>
      </c>
    </row>
    <row r="165" spans="1:9" x14ac:dyDescent="0.3">
      <c r="A165" s="23">
        <v>0</v>
      </c>
      <c r="B165" s="23">
        <v>6</v>
      </c>
      <c r="C165" s="15">
        <v>365</v>
      </c>
      <c r="D165" s="81">
        <v>2</v>
      </c>
      <c r="E165" s="4">
        <v>1</v>
      </c>
      <c r="F165" s="15" t="s">
        <v>482</v>
      </c>
      <c r="G165" s="15" t="s">
        <v>480</v>
      </c>
      <c r="H165" s="15">
        <v>1967</v>
      </c>
      <c r="I165" s="15" t="s">
        <v>481</v>
      </c>
    </row>
    <row r="166" spans="1:9" x14ac:dyDescent="0.3">
      <c r="A166" s="23">
        <v>0</v>
      </c>
      <c r="B166" s="23">
        <v>7</v>
      </c>
      <c r="C166" s="15">
        <v>365</v>
      </c>
      <c r="D166" s="81">
        <v>3</v>
      </c>
      <c r="E166" s="4">
        <v>1</v>
      </c>
      <c r="F166" s="15" t="s">
        <v>482</v>
      </c>
      <c r="G166" s="15" t="s">
        <v>480</v>
      </c>
      <c r="H166" s="15">
        <v>1967</v>
      </c>
      <c r="I166" s="15" t="s">
        <v>481</v>
      </c>
    </row>
    <row r="167" spans="1:9" x14ac:dyDescent="0.3">
      <c r="A167" s="23">
        <v>0</v>
      </c>
      <c r="B167" s="23">
        <v>8</v>
      </c>
      <c r="C167" s="15">
        <v>365</v>
      </c>
      <c r="D167" s="81">
        <v>3</v>
      </c>
      <c r="E167" s="4">
        <v>1</v>
      </c>
      <c r="F167" s="15" t="s">
        <v>482</v>
      </c>
      <c r="G167" s="15" t="s">
        <v>480</v>
      </c>
      <c r="H167" s="15">
        <v>1967</v>
      </c>
      <c r="I167" s="15" t="s">
        <v>481</v>
      </c>
    </row>
    <row r="168" spans="1:9" x14ac:dyDescent="0.3">
      <c r="A168" s="23">
        <v>0</v>
      </c>
      <c r="B168" s="23">
        <v>9</v>
      </c>
      <c r="C168" s="15">
        <v>365</v>
      </c>
      <c r="D168" s="81">
        <v>9</v>
      </c>
      <c r="E168" s="70">
        <v>1</v>
      </c>
      <c r="F168" s="15" t="s">
        <v>482</v>
      </c>
      <c r="G168" s="15" t="s">
        <v>480</v>
      </c>
      <c r="H168" s="15">
        <v>1967</v>
      </c>
      <c r="I168" s="15" t="s">
        <v>481</v>
      </c>
    </row>
    <row r="169" spans="1:9" x14ac:dyDescent="0.3">
      <c r="A169" s="23">
        <v>0</v>
      </c>
      <c r="B169" s="23">
        <v>10</v>
      </c>
      <c r="C169" s="15">
        <v>365</v>
      </c>
      <c r="D169" s="81">
        <v>9</v>
      </c>
      <c r="E169" s="70">
        <v>1</v>
      </c>
      <c r="F169" s="15" t="s">
        <v>482</v>
      </c>
      <c r="G169" s="15" t="s">
        <v>480</v>
      </c>
      <c r="H169" s="15">
        <v>1967</v>
      </c>
      <c r="I169" s="15" t="s">
        <v>481</v>
      </c>
    </row>
    <row r="170" spans="1:9" x14ac:dyDescent="0.3">
      <c r="A170" s="23">
        <v>3</v>
      </c>
      <c r="B170" s="23">
        <v>4</v>
      </c>
      <c r="C170" s="15">
        <v>365</v>
      </c>
      <c r="D170" s="81">
        <v>1</v>
      </c>
      <c r="E170" s="70">
        <v>1</v>
      </c>
      <c r="F170" s="15" t="s">
        <v>482</v>
      </c>
      <c r="G170" s="15" t="s">
        <v>480</v>
      </c>
      <c r="H170" s="15">
        <v>1967</v>
      </c>
      <c r="I170" s="15" t="s">
        <v>481</v>
      </c>
    </row>
    <row r="171" spans="1:9" x14ac:dyDescent="0.3">
      <c r="A171" s="23">
        <v>3</v>
      </c>
      <c r="B171" s="23">
        <v>5</v>
      </c>
      <c r="C171" s="15">
        <v>365</v>
      </c>
      <c r="D171" s="81">
        <v>1</v>
      </c>
      <c r="E171" s="70">
        <v>1</v>
      </c>
      <c r="F171" s="15" t="s">
        <v>482</v>
      </c>
      <c r="G171" s="15" t="s">
        <v>480</v>
      </c>
      <c r="H171" s="15">
        <v>1967</v>
      </c>
      <c r="I171" s="15" t="s">
        <v>481</v>
      </c>
    </row>
    <row r="172" spans="1:9" x14ac:dyDescent="0.3">
      <c r="A172" s="23">
        <v>3</v>
      </c>
      <c r="B172" s="23">
        <v>7</v>
      </c>
      <c r="C172" s="15">
        <v>365</v>
      </c>
      <c r="D172" s="81">
        <v>3</v>
      </c>
      <c r="E172" s="70">
        <v>1</v>
      </c>
      <c r="F172" s="15" t="s">
        <v>482</v>
      </c>
      <c r="G172" s="15" t="s">
        <v>480</v>
      </c>
      <c r="H172" s="15">
        <v>1967</v>
      </c>
      <c r="I172" s="15" t="s">
        <v>481</v>
      </c>
    </row>
    <row r="173" spans="1:9" x14ac:dyDescent="0.3">
      <c r="A173" s="23">
        <v>3</v>
      </c>
      <c r="B173" s="23">
        <v>8</v>
      </c>
      <c r="C173" s="15">
        <v>365</v>
      </c>
      <c r="D173" s="81">
        <v>2</v>
      </c>
      <c r="E173" s="70">
        <v>1</v>
      </c>
      <c r="F173" s="15" t="s">
        <v>482</v>
      </c>
      <c r="G173" s="15" t="s">
        <v>480</v>
      </c>
      <c r="H173" s="15">
        <v>1967</v>
      </c>
      <c r="I173" s="15" t="s">
        <v>481</v>
      </c>
    </row>
    <row r="174" spans="1:9" x14ac:dyDescent="0.3">
      <c r="A174" s="23">
        <v>3</v>
      </c>
      <c r="B174" s="23">
        <v>9</v>
      </c>
      <c r="C174" s="15">
        <v>365</v>
      </c>
      <c r="D174" s="81">
        <v>1</v>
      </c>
      <c r="E174" s="70">
        <v>1</v>
      </c>
      <c r="F174" s="15" t="s">
        <v>482</v>
      </c>
      <c r="G174" s="15" t="s">
        <v>480</v>
      </c>
      <c r="H174" s="15">
        <v>1967</v>
      </c>
      <c r="I174" s="15" t="s">
        <v>481</v>
      </c>
    </row>
    <row r="175" spans="1:9" x14ac:dyDescent="0.3">
      <c r="A175" s="23">
        <v>3</v>
      </c>
      <c r="B175" s="23">
        <v>10</v>
      </c>
      <c r="C175" s="15">
        <v>365</v>
      </c>
      <c r="D175" s="81">
        <v>10</v>
      </c>
      <c r="E175" s="70">
        <v>1</v>
      </c>
      <c r="F175" s="15" t="s">
        <v>482</v>
      </c>
      <c r="G175" s="15" t="s">
        <v>480</v>
      </c>
      <c r="H175" s="15">
        <v>1967</v>
      </c>
      <c r="I175" s="15" t="s">
        <v>481</v>
      </c>
    </row>
    <row r="176" spans="1:9" x14ac:dyDescent="0.3">
      <c r="A176" s="23">
        <v>4</v>
      </c>
      <c r="B176" s="23">
        <v>3</v>
      </c>
      <c r="C176" s="15">
        <v>365</v>
      </c>
      <c r="D176" s="81">
        <v>2</v>
      </c>
      <c r="E176" s="70">
        <v>1</v>
      </c>
      <c r="F176" s="15" t="s">
        <v>482</v>
      </c>
      <c r="G176" s="15" t="s">
        <v>480</v>
      </c>
      <c r="H176" s="15">
        <v>1967</v>
      </c>
      <c r="I176" s="15" t="s">
        <v>481</v>
      </c>
    </row>
    <row r="177" spans="1:9" x14ac:dyDescent="0.3">
      <c r="A177" s="23">
        <v>4</v>
      </c>
      <c r="B177" s="23">
        <v>4</v>
      </c>
      <c r="C177" s="15">
        <v>365</v>
      </c>
      <c r="D177" s="81">
        <v>1</v>
      </c>
      <c r="E177" s="70">
        <v>1</v>
      </c>
      <c r="F177" s="15" t="s">
        <v>482</v>
      </c>
      <c r="G177" s="15" t="s">
        <v>480</v>
      </c>
      <c r="H177" s="15">
        <v>1967</v>
      </c>
      <c r="I177" s="15" t="s">
        <v>481</v>
      </c>
    </row>
    <row r="178" spans="1:9" x14ac:dyDescent="0.3">
      <c r="A178" s="23">
        <v>4</v>
      </c>
      <c r="B178" s="23">
        <v>6</v>
      </c>
      <c r="C178" s="15">
        <v>365</v>
      </c>
      <c r="D178" s="81">
        <v>1</v>
      </c>
      <c r="E178" s="70">
        <v>1</v>
      </c>
      <c r="F178" s="15" t="s">
        <v>482</v>
      </c>
      <c r="G178" s="15" t="s">
        <v>480</v>
      </c>
      <c r="H178" s="15">
        <v>1967</v>
      </c>
      <c r="I178" s="15" t="s">
        <v>481</v>
      </c>
    </row>
    <row r="179" spans="1:9" x14ac:dyDescent="0.3">
      <c r="A179" s="23">
        <v>4</v>
      </c>
      <c r="B179" s="23">
        <v>8</v>
      </c>
      <c r="C179" s="15">
        <v>365</v>
      </c>
      <c r="D179" s="81">
        <v>2</v>
      </c>
      <c r="E179" s="70">
        <v>1</v>
      </c>
      <c r="F179" s="15" t="s">
        <v>482</v>
      </c>
      <c r="G179" s="15" t="s">
        <v>480</v>
      </c>
      <c r="H179" s="15">
        <v>1967</v>
      </c>
      <c r="I179" s="15" t="s">
        <v>481</v>
      </c>
    </row>
    <row r="180" spans="1:9" x14ac:dyDescent="0.3">
      <c r="A180" s="23">
        <v>4</v>
      </c>
      <c r="B180" s="23">
        <v>9</v>
      </c>
      <c r="C180" s="15">
        <v>365</v>
      </c>
      <c r="D180" s="81">
        <v>1</v>
      </c>
      <c r="E180" s="70">
        <v>1</v>
      </c>
      <c r="F180" s="15" t="s">
        <v>482</v>
      </c>
      <c r="G180" s="15" t="s">
        <v>480</v>
      </c>
      <c r="H180" s="15">
        <v>1967</v>
      </c>
      <c r="I180" s="15" t="s">
        <v>481</v>
      </c>
    </row>
    <row r="181" spans="1:9" x14ac:dyDescent="0.3">
      <c r="A181" s="23">
        <v>4</v>
      </c>
      <c r="B181" s="23">
        <v>10</v>
      </c>
      <c r="C181" s="15">
        <v>365</v>
      </c>
      <c r="D181" s="81">
        <v>4</v>
      </c>
      <c r="E181" s="70">
        <v>1</v>
      </c>
      <c r="F181" s="15" t="s">
        <v>482</v>
      </c>
      <c r="G181" s="15" t="s">
        <v>480</v>
      </c>
      <c r="H181" s="15">
        <v>1967</v>
      </c>
      <c r="I181" s="15" t="s">
        <v>481</v>
      </c>
    </row>
    <row r="182" spans="1:9" x14ac:dyDescent="0.3">
      <c r="A182" s="23">
        <v>5</v>
      </c>
      <c r="B182" s="23">
        <v>5</v>
      </c>
      <c r="C182" s="15">
        <v>365</v>
      </c>
      <c r="D182" s="81">
        <v>1</v>
      </c>
      <c r="E182" s="70">
        <v>1</v>
      </c>
      <c r="F182" s="15" t="s">
        <v>482</v>
      </c>
      <c r="G182" s="15" t="s">
        <v>480</v>
      </c>
      <c r="H182" s="15">
        <v>1967</v>
      </c>
      <c r="I182" s="15" t="s">
        <v>481</v>
      </c>
    </row>
    <row r="183" spans="1:9" x14ac:dyDescent="0.3">
      <c r="A183" s="23">
        <v>5</v>
      </c>
      <c r="B183" s="23">
        <v>6</v>
      </c>
      <c r="C183" s="15">
        <v>365</v>
      </c>
      <c r="D183" s="81">
        <v>2</v>
      </c>
      <c r="E183" s="70">
        <v>1</v>
      </c>
      <c r="F183" s="15" t="s">
        <v>482</v>
      </c>
      <c r="G183" s="15" t="s">
        <v>480</v>
      </c>
      <c r="H183" s="15">
        <v>1967</v>
      </c>
      <c r="I183" s="15" t="s">
        <v>481</v>
      </c>
    </row>
    <row r="184" spans="1:9" x14ac:dyDescent="0.3">
      <c r="A184" s="23">
        <v>5</v>
      </c>
      <c r="B184" s="23">
        <v>7</v>
      </c>
      <c r="C184" s="15">
        <v>365</v>
      </c>
      <c r="D184" s="81">
        <v>1</v>
      </c>
      <c r="E184" s="70">
        <v>1</v>
      </c>
      <c r="F184" s="15" t="s">
        <v>482</v>
      </c>
      <c r="G184" s="15" t="s">
        <v>480</v>
      </c>
      <c r="H184" s="15">
        <v>1967</v>
      </c>
      <c r="I184" s="15" t="s">
        <v>481</v>
      </c>
    </row>
    <row r="185" spans="1:9" x14ac:dyDescent="0.3">
      <c r="A185" s="23">
        <v>5</v>
      </c>
      <c r="B185" s="23">
        <v>8</v>
      </c>
      <c r="C185" s="15">
        <v>365</v>
      </c>
      <c r="D185" s="81">
        <v>1</v>
      </c>
      <c r="E185" s="70">
        <v>1</v>
      </c>
      <c r="F185" s="15" t="s">
        <v>482</v>
      </c>
      <c r="G185" s="15" t="s">
        <v>480</v>
      </c>
      <c r="H185" s="15">
        <v>1967</v>
      </c>
      <c r="I185" s="15" t="s">
        <v>481</v>
      </c>
    </row>
    <row r="186" spans="1:9" x14ac:dyDescent="0.3">
      <c r="A186" s="23">
        <v>5</v>
      </c>
      <c r="B186" s="23">
        <v>9</v>
      </c>
      <c r="C186" s="15">
        <v>365</v>
      </c>
      <c r="D186" s="81">
        <v>2</v>
      </c>
      <c r="E186" s="70">
        <v>1</v>
      </c>
      <c r="F186" s="15" t="s">
        <v>482</v>
      </c>
      <c r="G186" s="15" t="s">
        <v>480</v>
      </c>
      <c r="H186" s="15">
        <v>1967</v>
      </c>
      <c r="I186" s="15" t="s">
        <v>481</v>
      </c>
    </row>
    <row r="187" spans="1:9" x14ac:dyDescent="0.3">
      <c r="A187" s="23">
        <v>5</v>
      </c>
      <c r="B187" s="23">
        <v>10</v>
      </c>
      <c r="C187" s="15">
        <v>365</v>
      </c>
      <c r="D187" s="81">
        <v>5</v>
      </c>
      <c r="E187" s="70">
        <v>1</v>
      </c>
      <c r="F187" s="15" t="s">
        <v>482</v>
      </c>
      <c r="G187" s="15" t="s">
        <v>480</v>
      </c>
      <c r="H187" s="15">
        <v>1967</v>
      </c>
      <c r="I187" s="15" t="s">
        <v>481</v>
      </c>
    </row>
    <row r="188" spans="1:9" x14ac:dyDescent="0.3">
      <c r="A188" s="23">
        <v>6</v>
      </c>
      <c r="B188" s="23">
        <v>6</v>
      </c>
      <c r="C188" s="15">
        <v>365</v>
      </c>
      <c r="D188" s="81">
        <v>2</v>
      </c>
      <c r="E188" s="70">
        <v>1</v>
      </c>
      <c r="F188" s="15" t="s">
        <v>482</v>
      </c>
      <c r="G188" s="15" t="s">
        <v>480</v>
      </c>
      <c r="H188" s="15">
        <v>1967</v>
      </c>
      <c r="I188" s="15" t="s">
        <v>481</v>
      </c>
    </row>
    <row r="189" spans="1:9" x14ac:dyDescent="0.3">
      <c r="A189" s="23">
        <v>6</v>
      </c>
      <c r="B189" s="23">
        <v>7</v>
      </c>
      <c r="C189" s="15">
        <v>365</v>
      </c>
      <c r="D189" s="81">
        <v>1</v>
      </c>
      <c r="E189" s="70">
        <v>1</v>
      </c>
      <c r="F189" s="15" t="s">
        <v>482</v>
      </c>
      <c r="G189" s="15" t="s">
        <v>480</v>
      </c>
      <c r="H189" s="15">
        <v>1967</v>
      </c>
      <c r="I189" s="15" t="s">
        <v>481</v>
      </c>
    </row>
    <row r="190" spans="1:9" x14ac:dyDescent="0.3">
      <c r="A190" s="23">
        <v>6</v>
      </c>
      <c r="B190" s="23">
        <v>10</v>
      </c>
      <c r="C190" s="15">
        <v>365</v>
      </c>
      <c r="D190" s="81">
        <v>1</v>
      </c>
      <c r="E190" s="70">
        <v>1</v>
      </c>
      <c r="F190" s="15" t="s">
        <v>482</v>
      </c>
      <c r="G190" s="15" t="s">
        <v>480</v>
      </c>
      <c r="H190" s="15">
        <v>1967</v>
      </c>
      <c r="I190" s="15" t="s">
        <v>481</v>
      </c>
    </row>
    <row r="191" spans="1:9" x14ac:dyDescent="0.3">
      <c r="A191" s="23">
        <v>7</v>
      </c>
      <c r="B191" s="23">
        <v>10</v>
      </c>
      <c r="C191" s="15">
        <v>365</v>
      </c>
      <c r="D191" s="81">
        <v>2</v>
      </c>
      <c r="E191" s="70">
        <v>1</v>
      </c>
      <c r="F191" s="15" t="s">
        <v>482</v>
      </c>
      <c r="G191" s="15" t="s">
        <v>480</v>
      </c>
      <c r="H191" s="15">
        <v>1967</v>
      </c>
      <c r="I191" s="15" t="s">
        <v>481</v>
      </c>
    </row>
    <row r="192" spans="1:9" x14ac:dyDescent="0.3">
      <c r="A192" s="23">
        <v>8</v>
      </c>
      <c r="B192" s="23">
        <v>6</v>
      </c>
      <c r="C192" s="15">
        <v>365</v>
      </c>
      <c r="D192" s="81">
        <v>2</v>
      </c>
      <c r="E192" s="70">
        <v>1</v>
      </c>
      <c r="F192" s="15" t="s">
        <v>482</v>
      </c>
      <c r="G192" s="15" t="s">
        <v>480</v>
      </c>
      <c r="H192" s="15">
        <v>1967</v>
      </c>
      <c r="I192" s="15" t="s">
        <v>481</v>
      </c>
    </row>
    <row r="193" spans="1:9" x14ac:dyDescent="0.3">
      <c r="A193" s="23">
        <v>9</v>
      </c>
      <c r="B193" s="23">
        <v>6</v>
      </c>
      <c r="C193" s="15">
        <v>365</v>
      </c>
      <c r="D193" s="81">
        <v>1</v>
      </c>
      <c r="E193" s="70">
        <v>1</v>
      </c>
      <c r="F193" s="15" t="s">
        <v>482</v>
      </c>
      <c r="G193" s="15" t="s">
        <v>480</v>
      </c>
      <c r="H193" s="15">
        <v>1967</v>
      </c>
      <c r="I193" s="15" t="s">
        <v>481</v>
      </c>
    </row>
    <row r="194" spans="1:9" x14ac:dyDescent="0.3">
      <c r="A194" s="23">
        <v>9</v>
      </c>
      <c r="B194" s="23">
        <v>9</v>
      </c>
      <c r="C194" s="15">
        <v>365</v>
      </c>
      <c r="D194" s="81">
        <v>2</v>
      </c>
      <c r="E194" s="70">
        <v>1</v>
      </c>
      <c r="F194" s="15" t="s">
        <v>482</v>
      </c>
      <c r="G194" s="15" t="s">
        <v>480</v>
      </c>
      <c r="H194" s="15">
        <v>1967</v>
      </c>
      <c r="I194" s="15" t="s">
        <v>481</v>
      </c>
    </row>
    <row r="195" spans="1:9" x14ac:dyDescent="0.3">
      <c r="A195" s="23">
        <v>10</v>
      </c>
      <c r="B195" s="23">
        <v>7</v>
      </c>
      <c r="C195" s="15">
        <v>365</v>
      </c>
      <c r="D195" s="81">
        <v>1</v>
      </c>
      <c r="E195" s="70">
        <v>1</v>
      </c>
      <c r="F195" s="15" t="s">
        <v>482</v>
      </c>
      <c r="G195" s="15" t="s">
        <v>480</v>
      </c>
      <c r="H195" s="15">
        <v>1967</v>
      </c>
      <c r="I195" s="15" t="s">
        <v>481</v>
      </c>
    </row>
    <row r="196" spans="1:9" x14ac:dyDescent="0.3">
      <c r="A196" s="23">
        <v>10</v>
      </c>
      <c r="B196" s="23">
        <v>10</v>
      </c>
      <c r="C196" s="15">
        <v>365</v>
      </c>
      <c r="D196" s="81">
        <v>2</v>
      </c>
      <c r="E196" s="70">
        <v>1</v>
      </c>
      <c r="F196" s="15" t="s">
        <v>482</v>
      </c>
      <c r="G196" s="15" t="s">
        <v>480</v>
      </c>
      <c r="H196" s="15">
        <v>1967</v>
      </c>
      <c r="I196" s="15" t="s">
        <v>481</v>
      </c>
    </row>
    <row r="197" spans="1:9" x14ac:dyDescent="0.3">
      <c r="A197" s="23">
        <v>0</v>
      </c>
      <c r="B197" s="23">
        <v>4</v>
      </c>
      <c r="C197" s="15">
        <v>365</v>
      </c>
      <c r="D197" s="81">
        <v>3</v>
      </c>
      <c r="E197" s="70">
        <v>2</v>
      </c>
      <c r="F197" s="15" t="s">
        <v>484</v>
      </c>
      <c r="G197" s="15" t="s">
        <v>480</v>
      </c>
      <c r="H197" s="15">
        <v>1967</v>
      </c>
      <c r="I197" s="15" t="s">
        <v>481</v>
      </c>
    </row>
    <row r="198" spans="1:9" x14ac:dyDescent="0.3">
      <c r="A198" s="23">
        <v>0</v>
      </c>
      <c r="B198" s="23">
        <v>6</v>
      </c>
      <c r="C198" s="15">
        <v>365</v>
      </c>
      <c r="D198" s="81">
        <v>1</v>
      </c>
      <c r="E198" s="70">
        <v>2</v>
      </c>
      <c r="F198" s="15" t="s">
        <v>484</v>
      </c>
      <c r="G198" s="15" t="s">
        <v>480</v>
      </c>
      <c r="H198" s="15">
        <v>1967</v>
      </c>
      <c r="I198" s="15" t="s">
        <v>481</v>
      </c>
    </row>
    <row r="199" spans="1:9" x14ac:dyDescent="0.3">
      <c r="A199" s="23">
        <v>0</v>
      </c>
      <c r="B199" s="23">
        <v>7</v>
      </c>
      <c r="C199" s="15">
        <v>365</v>
      </c>
      <c r="D199" s="81">
        <v>2</v>
      </c>
      <c r="E199" s="70">
        <v>2</v>
      </c>
      <c r="F199" s="15" t="s">
        <v>484</v>
      </c>
      <c r="G199" s="15" t="s">
        <v>480</v>
      </c>
      <c r="H199" s="15">
        <v>1967</v>
      </c>
      <c r="I199" s="15" t="s">
        <v>481</v>
      </c>
    </row>
    <row r="200" spans="1:9" x14ac:dyDescent="0.3">
      <c r="A200" s="23">
        <v>0</v>
      </c>
      <c r="B200" s="23">
        <v>8</v>
      </c>
      <c r="C200" s="15">
        <v>365</v>
      </c>
      <c r="D200" s="81">
        <v>6</v>
      </c>
      <c r="E200" s="70">
        <v>2</v>
      </c>
      <c r="F200" s="15" t="s">
        <v>484</v>
      </c>
      <c r="G200" s="15" t="s">
        <v>480</v>
      </c>
      <c r="H200" s="15">
        <v>1967</v>
      </c>
      <c r="I200" s="15" t="s">
        <v>481</v>
      </c>
    </row>
    <row r="201" spans="1:9" x14ac:dyDescent="0.3">
      <c r="A201" s="23">
        <v>0</v>
      </c>
      <c r="B201" s="23">
        <v>9</v>
      </c>
      <c r="C201" s="15">
        <v>365</v>
      </c>
      <c r="D201" s="81">
        <v>3</v>
      </c>
      <c r="E201" s="70">
        <v>2</v>
      </c>
      <c r="F201" s="15" t="s">
        <v>484</v>
      </c>
      <c r="G201" s="15" t="s">
        <v>480</v>
      </c>
      <c r="H201" s="15">
        <v>1967</v>
      </c>
      <c r="I201" s="15" t="s">
        <v>481</v>
      </c>
    </row>
    <row r="202" spans="1:9" x14ac:dyDescent="0.3">
      <c r="A202" s="23">
        <v>0</v>
      </c>
      <c r="B202" s="23">
        <v>10</v>
      </c>
      <c r="C202" s="15">
        <v>365</v>
      </c>
      <c r="D202" s="81">
        <v>7</v>
      </c>
      <c r="E202" s="70">
        <v>2</v>
      </c>
      <c r="F202" s="15" t="s">
        <v>484</v>
      </c>
      <c r="G202" s="15" t="s">
        <v>480</v>
      </c>
      <c r="H202" s="15">
        <v>1967</v>
      </c>
      <c r="I202" s="15" t="s">
        <v>481</v>
      </c>
    </row>
    <row r="203" spans="1:9" x14ac:dyDescent="0.3">
      <c r="A203" s="23">
        <v>3</v>
      </c>
      <c r="B203" s="23">
        <v>4</v>
      </c>
      <c r="C203" s="15">
        <v>365</v>
      </c>
      <c r="D203" s="81">
        <v>1</v>
      </c>
      <c r="E203" s="70">
        <v>2</v>
      </c>
      <c r="F203" s="15" t="s">
        <v>484</v>
      </c>
      <c r="G203" s="15" t="s">
        <v>480</v>
      </c>
      <c r="H203" s="15">
        <v>1967</v>
      </c>
      <c r="I203" s="15" t="s">
        <v>481</v>
      </c>
    </row>
    <row r="204" spans="1:9" x14ac:dyDescent="0.3">
      <c r="A204" s="23">
        <v>3</v>
      </c>
      <c r="B204" s="23">
        <v>5</v>
      </c>
      <c r="C204" s="15">
        <v>365</v>
      </c>
      <c r="D204" s="81">
        <v>2</v>
      </c>
      <c r="E204" s="70">
        <v>2</v>
      </c>
      <c r="F204" s="15" t="s">
        <v>484</v>
      </c>
      <c r="G204" s="15" t="s">
        <v>480</v>
      </c>
      <c r="H204" s="15">
        <v>1967</v>
      </c>
      <c r="I204" s="15" t="s">
        <v>481</v>
      </c>
    </row>
    <row r="205" spans="1:9" x14ac:dyDescent="0.3">
      <c r="A205" s="23">
        <v>3</v>
      </c>
      <c r="B205" s="23">
        <v>6</v>
      </c>
      <c r="C205" s="15">
        <v>365</v>
      </c>
      <c r="D205" s="81">
        <v>2</v>
      </c>
      <c r="E205" s="70">
        <v>2</v>
      </c>
      <c r="F205" s="15" t="s">
        <v>484</v>
      </c>
      <c r="G205" s="15" t="s">
        <v>480</v>
      </c>
      <c r="H205" s="15">
        <v>1967</v>
      </c>
      <c r="I205" s="15" t="s">
        <v>481</v>
      </c>
    </row>
    <row r="206" spans="1:9" x14ac:dyDescent="0.3">
      <c r="A206" s="23">
        <v>3</v>
      </c>
      <c r="B206" s="23">
        <v>8</v>
      </c>
      <c r="C206" s="15">
        <v>365</v>
      </c>
      <c r="D206" s="81">
        <v>2</v>
      </c>
      <c r="E206" s="70">
        <v>2</v>
      </c>
      <c r="F206" s="15" t="s">
        <v>484</v>
      </c>
      <c r="G206" s="15" t="s">
        <v>480</v>
      </c>
      <c r="H206" s="15">
        <v>1967</v>
      </c>
      <c r="I206" s="15" t="s">
        <v>481</v>
      </c>
    </row>
    <row r="207" spans="1:9" x14ac:dyDescent="0.3">
      <c r="A207" s="23">
        <v>3</v>
      </c>
      <c r="B207" s="23">
        <v>9</v>
      </c>
      <c r="C207" s="81">
        <v>365</v>
      </c>
      <c r="D207" s="81">
        <v>4</v>
      </c>
      <c r="E207" s="70">
        <v>2</v>
      </c>
      <c r="F207" s="81" t="s">
        <v>484</v>
      </c>
      <c r="G207" s="81" t="s">
        <v>480</v>
      </c>
      <c r="H207" s="81">
        <v>1967</v>
      </c>
      <c r="I207" s="81" t="s">
        <v>481</v>
      </c>
    </row>
    <row r="208" spans="1:9" x14ac:dyDescent="0.3">
      <c r="A208" s="23">
        <v>3</v>
      </c>
      <c r="B208" s="23">
        <v>10</v>
      </c>
      <c r="C208" s="81">
        <v>365</v>
      </c>
      <c r="D208" s="81">
        <v>3</v>
      </c>
      <c r="E208" s="70">
        <v>2</v>
      </c>
      <c r="F208" s="81" t="s">
        <v>484</v>
      </c>
      <c r="G208" s="81" t="s">
        <v>480</v>
      </c>
      <c r="H208" s="81">
        <v>1967</v>
      </c>
      <c r="I208" s="81" t="s">
        <v>481</v>
      </c>
    </row>
    <row r="209" spans="1:9" x14ac:dyDescent="0.3">
      <c r="A209" s="23">
        <v>4</v>
      </c>
      <c r="B209" s="23">
        <v>4</v>
      </c>
      <c r="C209" s="81">
        <v>365</v>
      </c>
      <c r="D209" s="81">
        <v>1</v>
      </c>
      <c r="E209" s="70">
        <v>2</v>
      </c>
      <c r="F209" s="81" t="s">
        <v>484</v>
      </c>
      <c r="G209" s="81" t="s">
        <v>480</v>
      </c>
      <c r="H209" s="81">
        <v>1967</v>
      </c>
      <c r="I209" s="81" t="s">
        <v>481</v>
      </c>
    </row>
    <row r="210" spans="1:9" x14ac:dyDescent="0.3">
      <c r="A210" s="23">
        <v>4</v>
      </c>
      <c r="B210" s="23">
        <v>7</v>
      </c>
      <c r="C210" s="81">
        <v>365</v>
      </c>
      <c r="D210" s="81">
        <v>3</v>
      </c>
      <c r="E210" s="70">
        <v>2</v>
      </c>
      <c r="F210" s="81" t="s">
        <v>484</v>
      </c>
      <c r="G210" s="81" t="s">
        <v>480</v>
      </c>
      <c r="H210" s="81">
        <v>1967</v>
      </c>
      <c r="I210" s="81" t="s">
        <v>481</v>
      </c>
    </row>
    <row r="211" spans="1:9" x14ac:dyDescent="0.3">
      <c r="A211" s="23">
        <v>4</v>
      </c>
      <c r="B211" s="23">
        <v>8</v>
      </c>
      <c r="C211" s="81">
        <v>365</v>
      </c>
      <c r="D211" s="81">
        <v>4</v>
      </c>
      <c r="E211" s="70">
        <v>2</v>
      </c>
      <c r="F211" s="81" t="s">
        <v>484</v>
      </c>
      <c r="G211" s="81" t="s">
        <v>480</v>
      </c>
      <c r="H211" s="81">
        <v>1967</v>
      </c>
      <c r="I211" s="81" t="s">
        <v>481</v>
      </c>
    </row>
    <row r="212" spans="1:9" x14ac:dyDescent="0.3">
      <c r="A212" s="23">
        <v>4</v>
      </c>
      <c r="B212" s="23">
        <v>9</v>
      </c>
      <c r="C212" s="81">
        <v>365</v>
      </c>
      <c r="D212" s="81">
        <v>2</v>
      </c>
      <c r="E212" s="70">
        <v>2</v>
      </c>
      <c r="F212" s="81" t="s">
        <v>484</v>
      </c>
      <c r="G212" s="81" t="s">
        <v>480</v>
      </c>
      <c r="H212" s="81">
        <v>1967</v>
      </c>
      <c r="I212" s="81" t="s">
        <v>481</v>
      </c>
    </row>
    <row r="213" spans="1:9" x14ac:dyDescent="0.3">
      <c r="A213" s="23">
        <v>4</v>
      </c>
      <c r="B213" s="23">
        <v>10</v>
      </c>
      <c r="C213" s="81">
        <v>365</v>
      </c>
      <c r="D213" s="81">
        <v>2</v>
      </c>
      <c r="E213" s="70">
        <v>2</v>
      </c>
      <c r="F213" s="81" t="s">
        <v>484</v>
      </c>
      <c r="G213" s="81" t="s">
        <v>480</v>
      </c>
      <c r="H213" s="81">
        <v>1967</v>
      </c>
      <c r="I213" s="81" t="s">
        <v>481</v>
      </c>
    </row>
    <row r="214" spans="1:9" x14ac:dyDescent="0.3">
      <c r="A214" s="23">
        <v>5</v>
      </c>
      <c r="B214" s="23">
        <v>4</v>
      </c>
      <c r="C214" s="81">
        <v>365</v>
      </c>
      <c r="D214" s="81">
        <v>1</v>
      </c>
      <c r="E214" s="70">
        <v>2</v>
      </c>
      <c r="F214" s="81" t="s">
        <v>484</v>
      </c>
      <c r="G214" s="81" t="s">
        <v>480</v>
      </c>
      <c r="H214" s="81">
        <v>1967</v>
      </c>
      <c r="I214" s="81" t="s">
        <v>481</v>
      </c>
    </row>
    <row r="215" spans="1:9" x14ac:dyDescent="0.3">
      <c r="A215" s="23">
        <v>5</v>
      </c>
      <c r="B215" s="23">
        <v>6</v>
      </c>
      <c r="C215" s="81">
        <v>365</v>
      </c>
      <c r="D215" s="81">
        <v>2</v>
      </c>
      <c r="E215" s="70">
        <v>2</v>
      </c>
      <c r="F215" s="81" t="s">
        <v>484</v>
      </c>
      <c r="G215" s="81" t="s">
        <v>480</v>
      </c>
      <c r="H215" s="81">
        <v>1967</v>
      </c>
      <c r="I215" s="81" t="s">
        <v>481</v>
      </c>
    </row>
    <row r="216" spans="1:9" x14ac:dyDescent="0.3">
      <c r="A216" s="23">
        <v>5</v>
      </c>
      <c r="B216" s="23">
        <v>8</v>
      </c>
      <c r="C216" s="81">
        <v>365</v>
      </c>
      <c r="D216" s="81">
        <v>1</v>
      </c>
      <c r="E216" s="70">
        <v>2</v>
      </c>
      <c r="F216" s="81" t="s">
        <v>484</v>
      </c>
      <c r="G216" s="81" t="s">
        <v>480</v>
      </c>
      <c r="H216" s="81">
        <v>1967</v>
      </c>
      <c r="I216" s="81" t="s">
        <v>481</v>
      </c>
    </row>
    <row r="217" spans="1:9" x14ac:dyDescent="0.3">
      <c r="A217" s="23">
        <v>5</v>
      </c>
      <c r="B217" s="23">
        <v>9</v>
      </c>
      <c r="C217" s="81">
        <v>365</v>
      </c>
      <c r="D217" s="81">
        <v>1</v>
      </c>
      <c r="E217" s="70">
        <v>2</v>
      </c>
      <c r="F217" s="81" t="s">
        <v>484</v>
      </c>
      <c r="G217" s="81" t="s">
        <v>480</v>
      </c>
      <c r="H217" s="81">
        <v>1967</v>
      </c>
      <c r="I217" s="81" t="s">
        <v>481</v>
      </c>
    </row>
    <row r="218" spans="1:9" x14ac:dyDescent="0.3">
      <c r="A218" s="23">
        <v>5</v>
      </c>
      <c r="B218" s="23">
        <v>10</v>
      </c>
      <c r="C218" s="81">
        <v>365</v>
      </c>
      <c r="D218" s="81">
        <v>3</v>
      </c>
      <c r="E218" s="70">
        <v>2</v>
      </c>
      <c r="F218" s="81" t="s">
        <v>484</v>
      </c>
      <c r="G218" s="81" t="s">
        <v>480</v>
      </c>
      <c r="H218" s="81">
        <v>1967</v>
      </c>
      <c r="I218" s="81" t="s">
        <v>481</v>
      </c>
    </row>
    <row r="219" spans="1:9" x14ac:dyDescent="0.3">
      <c r="A219" s="23">
        <v>6</v>
      </c>
      <c r="B219" s="23">
        <v>6</v>
      </c>
      <c r="C219" s="81">
        <v>365</v>
      </c>
      <c r="D219" s="81">
        <v>1</v>
      </c>
      <c r="E219" s="70">
        <v>2</v>
      </c>
      <c r="F219" s="81" t="s">
        <v>484</v>
      </c>
      <c r="G219" s="81" t="s">
        <v>480</v>
      </c>
      <c r="H219" s="81">
        <v>1967</v>
      </c>
      <c r="I219" s="81" t="s">
        <v>481</v>
      </c>
    </row>
    <row r="220" spans="1:9" x14ac:dyDescent="0.3">
      <c r="A220" s="23">
        <v>6</v>
      </c>
      <c r="B220" s="23">
        <v>9</v>
      </c>
      <c r="C220" s="81">
        <v>365</v>
      </c>
      <c r="D220" s="81">
        <v>1</v>
      </c>
      <c r="E220" s="70">
        <v>2</v>
      </c>
      <c r="F220" s="81" t="s">
        <v>484</v>
      </c>
      <c r="G220" s="81" t="s">
        <v>480</v>
      </c>
      <c r="H220" s="81">
        <v>1967</v>
      </c>
      <c r="I220" s="81" t="s">
        <v>481</v>
      </c>
    </row>
    <row r="221" spans="1:9" x14ac:dyDescent="0.3">
      <c r="A221" s="23">
        <v>7</v>
      </c>
      <c r="B221" s="23">
        <v>8</v>
      </c>
      <c r="C221" s="81">
        <v>365</v>
      </c>
      <c r="D221" s="81">
        <v>2</v>
      </c>
      <c r="E221" s="70">
        <v>2</v>
      </c>
      <c r="F221" s="81" t="s">
        <v>484</v>
      </c>
      <c r="G221" s="81" t="s">
        <v>480</v>
      </c>
      <c r="H221" s="81">
        <v>1967</v>
      </c>
      <c r="I221" s="81" t="s">
        <v>481</v>
      </c>
    </row>
    <row r="222" spans="1:9" x14ac:dyDescent="0.3">
      <c r="A222" s="23">
        <v>7</v>
      </c>
      <c r="B222" s="23">
        <v>10</v>
      </c>
      <c r="C222" s="81">
        <v>365</v>
      </c>
      <c r="D222" s="81">
        <v>3</v>
      </c>
      <c r="E222" s="70">
        <v>2</v>
      </c>
      <c r="F222" s="81" t="s">
        <v>484</v>
      </c>
      <c r="G222" s="81" t="s">
        <v>480</v>
      </c>
      <c r="H222" s="81">
        <v>1967</v>
      </c>
      <c r="I222" s="81" t="s">
        <v>481</v>
      </c>
    </row>
    <row r="223" spans="1:9" x14ac:dyDescent="0.3">
      <c r="A223" s="23">
        <v>9</v>
      </c>
      <c r="B223" s="23">
        <v>9</v>
      </c>
      <c r="C223" s="81">
        <v>365</v>
      </c>
      <c r="D223" s="81">
        <v>3</v>
      </c>
      <c r="E223" s="70">
        <v>2</v>
      </c>
      <c r="F223" s="81" t="s">
        <v>484</v>
      </c>
      <c r="G223" s="81" t="s">
        <v>480</v>
      </c>
      <c r="H223" s="81">
        <v>1967</v>
      </c>
      <c r="I223" s="81" t="s">
        <v>481</v>
      </c>
    </row>
    <row r="224" spans="1:9" x14ac:dyDescent="0.3">
      <c r="A224" s="23">
        <v>9</v>
      </c>
      <c r="B224" s="23">
        <v>10</v>
      </c>
      <c r="C224" s="81">
        <v>365</v>
      </c>
      <c r="D224" s="81">
        <v>2</v>
      </c>
      <c r="E224" s="70">
        <v>2</v>
      </c>
      <c r="F224" s="81" t="s">
        <v>484</v>
      </c>
      <c r="G224" s="81" t="s">
        <v>480</v>
      </c>
      <c r="H224" s="81">
        <v>1967</v>
      </c>
      <c r="I224" s="81" t="s">
        <v>481</v>
      </c>
    </row>
    <row r="225" spans="1:9" x14ac:dyDescent="0.3">
      <c r="A225" s="23">
        <v>10</v>
      </c>
      <c r="B225" s="23">
        <v>5</v>
      </c>
      <c r="C225" s="81">
        <v>365</v>
      </c>
      <c r="D225" s="81">
        <v>1</v>
      </c>
      <c r="E225" s="70">
        <v>2</v>
      </c>
      <c r="F225" s="81" t="s">
        <v>484</v>
      </c>
      <c r="G225" s="81" t="s">
        <v>480</v>
      </c>
      <c r="H225" s="81">
        <v>1967</v>
      </c>
      <c r="I225" s="81" t="s">
        <v>481</v>
      </c>
    </row>
    <row r="226" spans="1:9" x14ac:dyDescent="0.3">
      <c r="A226" s="23">
        <v>10</v>
      </c>
      <c r="B226" s="23">
        <v>7</v>
      </c>
      <c r="C226" s="81">
        <v>365</v>
      </c>
      <c r="D226" s="81">
        <v>1</v>
      </c>
      <c r="E226" s="70">
        <v>2</v>
      </c>
      <c r="F226" s="81" t="s">
        <v>484</v>
      </c>
      <c r="G226" s="81" t="s">
        <v>480</v>
      </c>
      <c r="H226" s="81">
        <v>1967</v>
      </c>
      <c r="I226" s="81" t="s">
        <v>481</v>
      </c>
    </row>
    <row r="227" spans="1:9" x14ac:dyDescent="0.3">
      <c r="A227" s="23">
        <v>10</v>
      </c>
      <c r="B227" s="23">
        <v>10</v>
      </c>
      <c r="C227" s="81">
        <v>365</v>
      </c>
      <c r="D227" s="81">
        <v>1</v>
      </c>
      <c r="E227" s="70">
        <v>2</v>
      </c>
      <c r="F227" s="81" t="s">
        <v>484</v>
      </c>
      <c r="G227" s="81" t="s">
        <v>480</v>
      </c>
      <c r="H227" s="81">
        <v>1967</v>
      </c>
      <c r="I227" s="81" t="s">
        <v>481</v>
      </c>
    </row>
    <row r="228" spans="1:9" x14ac:dyDescent="0.3">
      <c r="A228" s="23">
        <v>0</v>
      </c>
      <c r="B228" s="23">
        <v>0</v>
      </c>
      <c r="C228" s="81">
        <v>365</v>
      </c>
      <c r="D228" s="81">
        <v>3</v>
      </c>
      <c r="E228" s="70">
        <v>3</v>
      </c>
      <c r="F228" s="81" t="s">
        <v>485</v>
      </c>
      <c r="G228" s="81" t="s">
        <v>480</v>
      </c>
      <c r="H228" s="81">
        <v>1967</v>
      </c>
      <c r="I228" s="81" t="s">
        <v>481</v>
      </c>
    </row>
    <row r="229" spans="1:9" x14ac:dyDescent="0.3">
      <c r="A229" s="23">
        <v>0</v>
      </c>
      <c r="B229" s="23">
        <v>3</v>
      </c>
      <c r="C229" s="81">
        <v>365</v>
      </c>
      <c r="D229" s="81">
        <v>3</v>
      </c>
      <c r="E229" s="70">
        <v>3</v>
      </c>
      <c r="F229" s="81" t="s">
        <v>485</v>
      </c>
      <c r="G229" s="81" t="s">
        <v>480</v>
      </c>
      <c r="H229" s="81">
        <v>1967</v>
      </c>
      <c r="I229" s="81" t="s">
        <v>481</v>
      </c>
    </row>
    <row r="230" spans="1:9" x14ac:dyDescent="0.3">
      <c r="A230" s="23">
        <v>0</v>
      </c>
      <c r="B230" s="23">
        <v>4</v>
      </c>
      <c r="C230" s="81">
        <v>365</v>
      </c>
      <c r="D230" s="81">
        <v>1</v>
      </c>
      <c r="E230" s="70">
        <v>3</v>
      </c>
      <c r="F230" s="81" t="s">
        <v>485</v>
      </c>
      <c r="G230" s="81" t="s">
        <v>480</v>
      </c>
      <c r="H230" s="81">
        <v>1967</v>
      </c>
      <c r="I230" s="81" t="s">
        <v>481</v>
      </c>
    </row>
    <row r="231" spans="1:9" x14ac:dyDescent="0.3">
      <c r="A231" s="23">
        <v>0</v>
      </c>
      <c r="B231" s="23">
        <v>5</v>
      </c>
      <c r="C231" s="81">
        <v>365</v>
      </c>
      <c r="D231" s="81">
        <v>2</v>
      </c>
      <c r="E231" s="70">
        <v>3</v>
      </c>
      <c r="F231" s="81" t="s">
        <v>485</v>
      </c>
      <c r="G231" s="81" t="s">
        <v>480</v>
      </c>
      <c r="H231" s="81">
        <v>1967</v>
      </c>
      <c r="I231" s="81" t="s">
        <v>481</v>
      </c>
    </row>
    <row r="232" spans="1:9" x14ac:dyDescent="0.3">
      <c r="A232" s="23">
        <v>0</v>
      </c>
      <c r="B232" s="23">
        <v>6</v>
      </c>
      <c r="C232" s="81">
        <v>365</v>
      </c>
      <c r="D232" s="81">
        <v>4</v>
      </c>
      <c r="E232" s="70">
        <v>3</v>
      </c>
      <c r="F232" s="81" t="s">
        <v>485</v>
      </c>
      <c r="G232" s="81" t="s">
        <v>480</v>
      </c>
      <c r="H232" s="81">
        <v>1967</v>
      </c>
      <c r="I232" s="81" t="s">
        <v>481</v>
      </c>
    </row>
    <row r="233" spans="1:9" x14ac:dyDescent="0.3">
      <c r="A233" s="23">
        <v>0</v>
      </c>
      <c r="B233" s="23">
        <v>7</v>
      </c>
      <c r="C233" s="81">
        <v>365</v>
      </c>
      <c r="D233" s="81">
        <v>4</v>
      </c>
      <c r="E233" s="70">
        <v>3</v>
      </c>
      <c r="F233" s="81" t="s">
        <v>485</v>
      </c>
      <c r="G233" s="81" t="s">
        <v>480</v>
      </c>
      <c r="H233" s="81">
        <v>1967</v>
      </c>
      <c r="I233" s="81" t="s">
        <v>481</v>
      </c>
    </row>
    <row r="234" spans="1:9" x14ac:dyDescent="0.3">
      <c r="A234" s="23">
        <v>0</v>
      </c>
      <c r="B234" s="23">
        <v>8</v>
      </c>
      <c r="C234" s="81">
        <v>365</v>
      </c>
      <c r="D234" s="81">
        <v>2</v>
      </c>
      <c r="E234" s="70">
        <v>3</v>
      </c>
      <c r="F234" s="81" t="s">
        <v>485</v>
      </c>
      <c r="G234" s="81" t="s">
        <v>480</v>
      </c>
      <c r="H234" s="81">
        <v>1967</v>
      </c>
      <c r="I234" s="81" t="s">
        <v>481</v>
      </c>
    </row>
    <row r="235" spans="1:9" x14ac:dyDescent="0.3">
      <c r="A235" s="23">
        <v>0</v>
      </c>
      <c r="B235" s="23">
        <v>9</v>
      </c>
      <c r="C235" s="81">
        <v>365</v>
      </c>
      <c r="D235" s="81">
        <v>2</v>
      </c>
      <c r="E235" s="70">
        <v>3</v>
      </c>
      <c r="F235" s="81" t="s">
        <v>485</v>
      </c>
      <c r="G235" s="81" t="s">
        <v>480</v>
      </c>
      <c r="H235" s="81">
        <v>1967</v>
      </c>
      <c r="I235" s="81" t="s">
        <v>481</v>
      </c>
    </row>
    <row r="236" spans="1:9" x14ac:dyDescent="0.3">
      <c r="A236" s="23">
        <v>0</v>
      </c>
      <c r="B236" s="23">
        <v>10</v>
      </c>
      <c r="C236" s="81">
        <v>365</v>
      </c>
      <c r="D236" s="81">
        <v>1</v>
      </c>
      <c r="E236" s="70">
        <v>3</v>
      </c>
      <c r="F236" s="81" t="s">
        <v>485</v>
      </c>
      <c r="G236" s="81" t="s">
        <v>480</v>
      </c>
      <c r="H236" s="81">
        <v>1967</v>
      </c>
      <c r="I236" s="81" t="s">
        <v>481</v>
      </c>
    </row>
    <row r="237" spans="1:9" x14ac:dyDescent="0.3">
      <c r="A237" s="23">
        <v>3</v>
      </c>
      <c r="B237" s="23">
        <v>0</v>
      </c>
      <c r="C237" s="81">
        <v>365</v>
      </c>
      <c r="D237" s="81">
        <v>2</v>
      </c>
      <c r="E237" s="70">
        <v>3</v>
      </c>
      <c r="F237" s="81" t="s">
        <v>485</v>
      </c>
      <c r="G237" s="81" t="s">
        <v>480</v>
      </c>
      <c r="H237" s="81">
        <v>1967</v>
      </c>
      <c r="I237" s="81" t="s">
        <v>481</v>
      </c>
    </row>
    <row r="238" spans="1:9" x14ac:dyDescent="0.3">
      <c r="A238" s="23">
        <v>3</v>
      </c>
      <c r="B238" s="23">
        <v>7</v>
      </c>
      <c r="C238" s="81">
        <v>365</v>
      </c>
      <c r="D238" s="81">
        <v>1</v>
      </c>
      <c r="E238" s="70">
        <v>3</v>
      </c>
      <c r="F238" s="81" t="s">
        <v>485</v>
      </c>
      <c r="G238" s="81" t="s">
        <v>480</v>
      </c>
      <c r="H238" s="81">
        <v>1967</v>
      </c>
      <c r="I238" s="81" t="s">
        <v>481</v>
      </c>
    </row>
    <row r="239" spans="1:9" x14ac:dyDescent="0.3">
      <c r="A239" s="23">
        <v>3</v>
      </c>
      <c r="B239" s="23">
        <v>8</v>
      </c>
      <c r="C239" s="81">
        <v>365</v>
      </c>
      <c r="D239" s="81">
        <v>2</v>
      </c>
      <c r="E239" s="70">
        <v>3</v>
      </c>
      <c r="F239" s="81" t="s">
        <v>485</v>
      </c>
      <c r="G239" s="81" t="s">
        <v>480</v>
      </c>
      <c r="H239" s="81">
        <v>1967</v>
      </c>
      <c r="I239" s="81" t="s">
        <v>481</v>
      </c>
    </row>
    <row r="240" spans="1:9" x14ac:dyDescent="0.3">
      <c r="A240" s="23">
        <v>3</v>
      </c>
      <c r="B240" s="23">
        <v>9</v>
      </c>
      <c r="C240" s="81">
        <v>365</v>
      </c>
      <c r="D240" s="81">
        <v>1</v>
      </c>
      <c r="E240" s="70">
        <v>3</v>
      </c>
      <c r="F240" s="81" t="s">
        <v>485</v>
      </c>
      <c r="G240" s="81" t="s">
        <v>480</v>
      </c>
      <c r="H240" s="81">
        <v>1967</v>
      </c>
      <c r="I240" s="81" t="s">
        <v>481</v>
      </c>
    </row>
    <row r="241" spans="1:25" x14ac:dyDescent="0.3">
      <c r="A241" s="23">
        <v>4</v>
      </c>
      <c r="B241" s="23">
        <v>0</v>
      </c>
      <c r="C241" s="81">
        <v>365</v>
      </c>
      <c r="D241" s="81">
        <v>1</v>
      </c>
      <c r="E241" s="70">
        <v>3</v>
      </c>
      <c r="F241" s="81" t="s">
        <v>485</v>
      </c>
      <c r="G241" s="81" t="s">
        <v>480</v>
      </c>
      <c r="H241" s="81">
        <v>1967</v>
      </c>
      <c r="I241" s="81" t="s">
        <v>481</v>
      </c>
    </row>
    <row r="242" spans="1:25" x14ac:dyDescent="0.3">
      <c r="A242" s="23">
        <v>4</v>
      </c>
      <c r="B242" s="23">
        <v>4</v>
      </c>
      <c r="C242" s="81">
        <v>365</v>
      </c>
      <c r="D242" s="81">
        <v>2</v>
      </c>
      <c r="E242" s="70">
        <v>3</v>
      </c>
      <c r="F242" s="81" t="s">
        <v>485</v>
      </c>
      <c r="G242" s="81" t="s">
        <v>480</v>
      </c>
      <c r="H242" s="81">
        <v>1967</v>
      </c>
      <c r="I242" s="81" t="s">
        <v>481</v>
      </c>
    </row>
    <row r="243" spans="1:25" x14ac:dyDescent="0.3">
      <c r="A243" s="23">
        <v>4</v>
      </c>
      <c r="B243" s="23">
        <v>5</v>
      </c>
      <c r="C243" s="81">
        <v>365</v>
      </c>
      <c r="D243" s="81">
        <v>1</v>
      </c>
      <c r="E243" s="70">
        <v>3</v>
      </c>
      <c r="F243" s="81" t="s">
        <v>485</v>
      </c>
      <c r="G243" s="81" t="s">
        <v>480</v>
      </c>
      <c r="H243" s="81">
        <v>1967</v>
      </c>
      <c r="I243" s="81" t="s">
        <v>481</v>
      </c>
    </row>
    <row r="244" spans="1:25" x14ac:dyDescent="0.3">
      <c r="A244" s="23">
        <v>4</v>
      </c>
      <c r="B244" s="23">
        <v>6</v>
      </c>
      <c r="C244" s="81">
        <v>365</v>
      </c>
      <c r="D244" s="81">
        <v>2</v>
      </c>
      <c r="E244" s="70">
        <v>3</v>
      </c>
      <c r="F244" s="81" t="s">
        <v>485</v>
      </c>
      <c r="G244" s="81" t="s">
        <v>480</v>
      </c>
      <c r="H244" s="81">
        <v>1967</v>
      </c>
      <c r="I244" s="81" t="s">
        <v>481</v>
      </c>
    </row>
    <row r="245" spans="1:25" x14ac:dyDescent="0.3">
      <c r="A245" s="23">
        <v>4</v>
      </c>
      <c r="B245" s="23">
        <v>7</v>
      </c>
      <c r="C245" s="81">
        <v>365</v>
      </c>
      <c r="D245" s="81">
        <v>1</v>
      </c>
      <c r="E245" s="70">
        <v>3</v>
      </c>
      <c r="F245" s="81" t="s">
        <v>485</v>
      </c>
      <c r="G245" s="81" t="s">
        <v>480</v>
      </c>
      <c r="H245" s="81">
        <v>1967</v>
      </c>
      <c r="I245" s="81" t="s">
        <v>481</v>
      </c>
    </row>
    <row r="246" spans="1:25" x14ac:dyDescent="0.3">
      <c r="A246" s="23">
        <v>4</v>
      </c>
      <c r="B246" s="23">
        <v>8</v>
      </c>
      <c r="C246" s="81">
        <v>365</v>
      </c>
      <c r="D246" s="81">
        <v>1</v>
      </c>
      <c r="E246" s="70">
        <v>3</v>
      </c>
      <c r="F246" s="81" t="s">
        <v>485</v>
      </c>
      <c r="G246" s="81" t="s">
        <v>480</v>
      </c>
      <c r="H246" s="81">
        <v>1967</v>
      </c>
      <c r="I246" s="81" t="s">
        <v>481</v>
      </c>
    </row>
    <row r="247" spans="1:25" x14ac:dyDescent="0.3">
      <c r="A247" s="23">
        <v>4</v>
      </c>
      <c r="B247" s="23">
        <v>10</v>
      </c>
      <c r="C247" s="81">
        <v>365</v>
      </c>
      <c r="D247" s="81">
        <v>1</v>
      </c>
      <c r="E247" s="70">
        <v>3</v>
      </c>
      <c r="F247" s="81" t="s">
        <v>485</v>
      </c>
      <c r="G247" s="81" t="s">
        <v>480</v>
      </c>
      <c r="H247" s="81">
        <v>1967</v>
      </c>
      <c r="I247" s="81" t="s">
        <v>481</v>
      </c>
    </row>
    <row r="248" spans="1:25" x14ac:dyDescent="0.3">
      <c r="A248" s="23">
        <v>5</v>
      </c>
      <c r="B248" s="23">
        <v>0</v>
      </c>
      <c r="C248" s="81">
        <v>365</v>
      </c>
      <c r="D248" s="81">
        <v>1</v>
      </c>
      <c r="E248" s="70">
        <v>3</v>
      </c>
      <c r="F248" s="81" t="s">
        <v>485</v>
      </c>
      <c r="G248" s="81" t="s">
        <v>480</v>
      </c>
      <c r="H248" s="81">
        <v>1967</v>
      </c>
      <c r="I248" s="81" t="s">
        <v>481</v>
      </c>
    </row>
    <row r="249" spans="1:25" x14ac:dyDescent="0.3">
      <c r="A249" s="23">
        <v>5</v>
      </c>
      <c r="B249" s="23">
        <v>6</v>
      </c>
      <c r="C249" s="81">
        <v>365</v>
      </c>
      <c r="D249" s="81">
        <v>1</v>
      </c>
      <c r="E249" s="70">
        <v>3</v>
      </c>
      <c r="F249" s="81" t="s">
        <v>485</v>
      </c>
      <c r="G249" s="81" t="s">
        <v>480</v>
      </c>
      <c r="H249" s="81">
        <v>1967</v>
      </c>
      <c r="I249" s="81" t="s">
        <v>481</v>
      </c>
    </row>
    <row r="250" spans="1:25" x14ac:dyDescent="0.3">
      <c r="A250" s="23">
        <v>5</v>
      </c>
      <c r="B250" s="23">
        <v>7</v>
      </c>
      <c r="C250" s="81">
        <v>365</v>
      </c>
      <c r="D250" s="81">
        <v>2</v>
      </c>
      <c r="E250" s="70">
        <v>3</v>
      </c>
      <c r="F250" s="81" t="s">
        <v>485</v>
      </c>
      <c r="G250" s="81" t="s">
        <v>480</v>
      </c>
      <c r="H250" s="81">
        <v>1967</v>
      </c>
      <c r="I250" s="81" t="s">
        <v>481</v>
      </c>
    </row>
    <row r="251" spans="1:25" s="15" customFormat="1" x14ac:dyDescent="0.3">
      <c r="A251" s="23">
        <v>5</v>
      </c>
      <c r="B251" s="23">
        <v>10</v>
      </c>
      <c r="C251" s="81">
        <v>365</v>
      </c>
      <c r="D251" s="81">
        <v>3</v>
      </c>
      <c r="E251" s="70">
        <v>3</v>
      </c>
      <c r="F251" s="81" t="s">
        <v>485</v>
      </c>
      <c r="G251" s="81" t="s">
        <v>480</v>
      </c>
      <c r="H251" s="81">
        <v>1967</v>
      </c>
      <c r="I251" s="81" t="s">
        <v>481</v>
      </c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 spans="1:25" s="15" customFormat="1" x14ac:dyDescent="0.3">
      <c r="A252" s="23">
        <v>6</v>
      </c>
      <c r="B252" s="23">
        <v>4</v>
      </c>
      <c r="C252" s="81">
        <v>365</v>
      </c>
      <c r="D252" s="81">
        <v>1</v>
      </c>
      <c r="E252" s="70">
        <v>3</v>
      </c>
      <c r="F252" s="81" t="s">
        <v>485</v>
      </c>
      <c r="G252" s="81" t="s">
        <v>480</v>
      </c>
      <c r="H252" s="81">
        <v>1967</v>
      </c>
      <c r="I252" s="81" t="s">
        <v>481</v>
      </c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 spans="1:25" s="15" customFormat="1" x14ac:dyDescent="0.3">
      <c r="A253" s="23">
        <v>6</v>
      </c>
      <c r="B253" s="23">
        <v>6</v>
      </c>
      <c r="C253" s="81">
        <v>365</v>
      </c>
      <c r="D253" s="81">
        <v>1</v>
      </c>
      <c r="E253" s="70">
        <v>3</v>
      </c>
      <c r="F253" s="81" t="s">
        <v>485</v>
      </c>
      <c r="G253" s="81" t="s">
        <v>480</v>
      </c>
      <c r="H253" s="81">
        <v>1967</v>
      </c>
      <c r="I253" s="81" t="s">
        <v>481</v>
      </c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 spans="1:25" s="15" customFormat="1" x14ac:dyDescent="0.3">
      <c r="A254" s="23">
        <v>6</v>
      </c>
      <c r="B254" s="23">
        <v>7</v>
      </c>
      <c r="C254" s="81">
        <v>365</v>
      </c>
      <c r="D254" s="81">
        <v>1</v>
      </c>
      <c r="E254" s="70">
        <v>3</v>
      </c>
      <c r="F254" s="81" t="s">
        <v>485</v>
      </c>
      <c r="G254" s="81" t="s">
        <v>480</v>
      </c>
      <c r="H254" s="81">
        <v>1967</v>
      </c>
      <c r="I254" s="81" t="s">
        <v>481</v>
      </c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 spans="1:25" x14ac:dyDescent="0.3">
      <c r="A255" s="23">
        <v>0</v>
      </c>
      <c r="B255" s="23">
        <v>0</v>
      </c>
      <c r="C255" s="81">
        <v>365</v>
      </c>
      <c r="D255" s="81">
        <v>20</v>
      </c>
      <c r="E255" s="70">
        <v>1</v>
      </c>
      <c r="F255" s="81" t="s">
        <v>483</v>
      </c>
      <c r="G255" s="81" t="s">
        <v>480</v>
      </c>
      <c r="H255" s="81">
        <v>1967</v>
      </c>
      <c r="I255" s="81" t="s">
        <v>481</v>
      </c>
    </row>
    <row r="256" spans="1:25" x14ac:dyDescent="0.3">
      <c r="A256" s="23">
        <v>0</v>
      </c>
      <c r="B256" s="23">
        <v>3</v>
      </c>
      <c r="C256" s="81">
        <v>365</v>
      </c>
      <c r="D256" s="81">
        <v>1</v>
      </c>
      <c r="E256" s="70">
        <v>1</v>
      </c>
      <c r="F256" s="81" t="s">
        <v>483</v>
      </c>
      <c r="G256" s="81" t="s">
        <v>480</v>
      </c>
      <c r="H256" s="81">
        <v>1967</v>
      </c>
      <c r="I256" s="81" t="s">
        <v>481</v>
      </c>
    </row>
    <row r="257" spans="1:9" x14ac:dyDescent="0.3">
      <c r="A257" s="23">
        <v>0</v>
      </c>
      <c r="B257" s="23">
        <v>4</v>
      </c>
      <c r="C257" s="81">
        <v>365</v>
      </c>
      <c r="D257" s="81">
        <v>6</v>
      </c>
      <c r="E257" s="70">
        <v>1</v>
      </c>
      <c r="F257" s="81" t="s">
        <v>483</v>
      </c>
      <c r="G257" s="81" t="s">
        <v>480</v>
      </c>
      <c r="H257" s="81">
        <v>1967</v>
      </c>
      <c r="I257" s="81" t="s">
        <v>481</v>
      </c>
    </row>
    <row r="258" spans="1:9" x14ac:dyDescent="0.3">
      <c r="A258" s="23">
        <v>0</v>
      </c>
      <c r="B258" s="23">
        <v>5</v>
      </c>
      <c r="C258" s="81">
        <v>365</v>
      </c>
      <c r="D258" s="81">
        <v>2</v>
      </c>
      <c r="E258" s="70">
        <v>1</v>
      </c>
      <c r="F258" s="81" t="s">
        <v>483</v>
      </c>
      <c r="G258" s="81" t="s">
        <v>480</v>
      </c>
      <c r="H258" s="81">
        <v>1967</v>
      </c>
      <c r="I258" s="81" t="s">
        <v>481</v>
      </c>
    </row>
    <row r="259" spans="1:9" x14ac:dyDescent="0.3">
      <c r="A259" s="23">
        <v>0</v>
      </c>
      <c r="B259" s="23">
        <v>6</v>
      </c>
      <c r="C259" s="81">
        <v>365</v>
      </c>
      <c r="D259" s="81">
        <v>4</v>
      </c>
      <c r="E259" s="70">
        <v>1</v>
      </c>
      <c r="F259" s="81" t="s">
        <v>483</v>
      </c>
      <c r="G259" s="81" t="s">
        <v>480</v>
      </c>
      <c r="H259" s="81">
        <v>1967</v>
      </c>
      <c r="I259" s="81" t="s">
        <v>481</v>
      </c>
    </row>
    <row r="260" spans="1:9" x14ac:dyDescent="0.3">
      <c r="A260" s="23">
        <v>0</v>
      </c>
      <c r="B260" s="23">
        <v>7</v>
      </c>
      <c r="C260" s="81">
        <v>365</v>
      </c>
      <c r="D260" s="81">
        <v>1</v>
      </c>
      <c r="E260" s="70">
        <v>1</v>
      </c>
      <c r="F260" s="81" t="s">
        <v>483</v>
      </c>
      <c r="G260" s="81" t="s">
        <v>480</v>
      </c>
      <c r="H260" s="81">
        <v>1967</v>
      </c>
      <c r="I260" s="81" t="s">
        <v>481</v>
      </c>
    </row>
    <row r="261" spans="1:9" x14ac:dyDescent="0.3">
      <c r="A261" s="23">
        <v>0</v>
      </c>
      <c r="B261" s="23">
        <v>9</v>
      </c>
      <c r="C261" s="81">
        <v>365</v>
      </c>
      <c r="D261" s="81">
        <v>1</v>
      </c>
      <c r="E261" s="70">
        <v>1</v>
      </c>
      <c r="F261" s="81" t="s">
        <v>483</v>
      </c>
      <c r="G261" s="81" t="s">
        <v>480</v>
      </c>
      <c r="H261" s="81">
        <v>1967</v>
      </c>
      <c r="I261" s="81" t="s">
        <v>481</v>
      </c>
    </row>
    <row r="262" spans="1:9" x14ac:dyDescent="0.3">
      <c r="A262" s="23">
        <v>0</v>
      </c>
      <c r="B262" s="23">
        <v>10</v>
      </c>
      <c r="C262" s="81">
        <v>365</v>
      </c>
      <c r="D262" s="81">
        <v>1</v>
      </c>
      <c r="E262" s="70">
        <v>1</v>
      </c>
      <c r="F262" s="81" t="s">
        <v>483</v>
      </c>
      <c r="G262" s="81" t="s">
        <v>480</v>
      </c>
      <c r="H262" s="81">
        <v>1967</v>
      </c>
      <c r="I262" s="81" t="s">
        <v>481</v>
      </c>
    </row>
    <row r="263" spans="1:9" x14ac:dyDescent="0.3">
      <c r="A263" s="23">
        <v>3</v>
      </c>
      <c r="B263" s="23">
        <v>0</v>
      </c>
      <c r="C263" s="81">
        <v>365</v>
      </c>
      <c r="D263" s="81">
        <v>3</v>
      </c>
      <c r="E263" s="70">
        <v>1</v>
      </c>
      <c r="F263" s="81" t="s">
        <v>483</v>
      </c>
      <c r="G263" s="81" t="s">
        <v>480</v>
      </c>
      <c r="H263" s="81">
        <v>1967</v>
      </c>
      <c r="I263" s="81" t="s">
        <v>481</v>
      </c>
    </row>
    <row r="264" spans="1:9" x14ac:dyDescent="0.3">
      <c r="A264" s="23">
        <v>3</v>
      </c>
      <c r="B264" s="23">
        <v>3</v>
      </c>
      <c r="C264" s="81">
        <v>365</v>
      </c>
      <c r="D264" s="81">
        <v>3</v>
      </c>
      <c r="E264" s="70">
        <v>1</v>
      </c>
      <c r="F264" s="81" t="s">
        <v>483</v>
      </c>
      <c r="G264" s="81" t="s">
        <v>480</v>
      </c>
      <c r="H264" s="81">
        <v>1967</v>
      </c>
      <c r="I264" s="81" t="s">
        <v>481</v>
      </c>
    </row>
    <row r="265" spans="1:9" x14ac:dyDescent="0.3">
      <c r="A265" s="23">
        <v>3</v>
      </c>
      <c r="B265" s="23">
        <v>5</v>
      </c>
      <c r="C265" s="81">
        <v>365</v>
      </c>
      <c r="D265" s="81">
        <v>1</v>
      </c>
      <c r="E265" s="70">
        <v>1</v>
      </c>
      <c r="F265" s="81" t="s">
        <v>483</v>
      </c>
      <c r="G265" s="81" t="s">
        <v>480</v>
      </c>
      <c r="H265" s="81">
        <v>1967</v>
      </c>
      <c r="I265" s="81" t="s">
        <v>481</v>
      </c>
    </row>
    <row r="266" spans="1:9" x14ac:dyDescent="0.3">
      <c r="A266" s="23">
        <v>3</v>
      </c>
      <c r="B266" s="23">
        <v>6</v>
      </c>
      <c r="C266" s="81">
        <v>365</v>
      </c>
      <c r="D266" s="81">
        <v>1</v>
      </c>
      <c r="E266" s="70">
        <v>1</v>
      </c>
      <c r="F266" s="81" t="s">
        <v>483</v>
      </c>
      <c r="G266" s="81" t="s">
        <v>480</v>
      </c>
      <c r="H266" s="81">
        <v>1967</v>
      </c>
      <c r="I266" s="81" t="s">
        <v>481</v>
      </c>
    </row>
    <row r="267" spans="1:9" x14ac:dyDescent="0.3">
      <c r="A267" s="23">
        <v>3</v>
      </c>
      <c r="B267" s="23">
        <v>8</v>
      </c>
      <c r="C267" s="81">
        <v>365</v>
      </c>
      <c r="D267" s="81">
        <v>1</v>
      </c>
      <c r="E267" s="70">
        <v>1</v>
      </c>
      <c r="F267" s="81" t="s">
        <v>483</v>
      </c>
      <c r="G267" s="81" t="s">
        <v>480</v>
      </c>
      <c r="H267" s="81">
        <v>1967</v>
      </c>
      <c r="I267" s="81" t="s">
        <v>481</v>
      </c>
    </row>
    <row r="268" spans="1:9" x14ac:dyDescent="0.3">
      <c r="A268" s="23">
        <v>3</v>
      </c>
      <c r="B268" s="23">
        <v>9</v>
      </c>
      <c r="C268" s="81">
        <v>365</v>
      </c>
      <c r="D268" s="81">
        <v>1</v>
      </c>
      <c r="E268" s="70">
        <v>1</v>
      </c>
      <c r="F268" s="81" t="s">
        <v>483</v>
      </c>
      <c r="G268" s="81" t="s">
        <v>480</v>
      </c>
      <c r="H268" s="81">
        <v>1967</v>
      </c>
      <c r="I268" s="81" t="s">
        <v>481</v>
      </c>
    </row>
    <row r="269" spans="1:9" x14ac:dyDescent="0.3">
      <c r="A269" s="23">
        <v>3</v>
      </c>
      <c r="B269" s="23">
        <v>10</v>
      </c>
      <c r="C269" s="81">
        <v>365</v>
      </c>
      <c r="D269" s="81">
        <v>1</v>
      </c>
      <c r="E269" s="70">
        <v>1</v>
      </c>
      <c r="F269" s="81" t="s">
        <v>483</v>
      </c>
      <c r="G269" s="81" t="s">
        <v>480</v>
      </c>
      <c r="H269" s="81">
        <v>1967</v>
      </c>
      <c r="I269" s="81" t="s">
        <v>481</v>
      </c>
    </row>
    <row r="270" spans="1:9" x14ac:dyDescent="0.3">
      <c r="A270" s="23">
        <v>4</v>
      </c>
      <c r="B270" s="23">
        <v>0</v>
      </c>
      <c r="C270" s="81">
        <v>365</v>
      </c>
      <c r="D270" s="81">
        <v>4</v>
      </c>
      <c r="E270" s="70">
        <v>1</v>
      </c>
      <c r="F270" s="81" t="s">
        <v>483</v>
      </c>
      <c r="G270" s="81" t="s">
        <v>480</v>
      </c>
      <c r="H270" s="81">
        <v>1967</v>
      </c>
      <c r="I270" s="81" t="s">
        <v>481</v>
      </c>
    </row>
    <row r="271" spans="1:9" x14ac:dyDescent="0.3">
      <c r="A271" s="23">
        <v>4</v>
      </c>
      <c r="B271" s="23">
        <v>5</v>
      </c>
      <c r="C271" s="81">
        <v>365</v>
      </c>
      <c r="D271" s="81">
        <v>1</v>
      </c>
      <c r="E271" s="70">
        <v>1</v>
      </c>
      <c r="F271" s="81" t="s">
        <v>483</v>
      </c>
      <c r="G271" s="81" t="s">
        <v>480</v>
      </c>
      <c r="H271" s="81">
        <v>1967</v>
      </c>
      <c r="I271" s="81" t="s">
        <v>481</v>
      </c>
    </row>
    <row r="272" spans="1:9" x14ac:dyDescent="0.3">
      <c r="A272" s="23">
        <v>4</v>
      </c>
      <c r="B272" s="23">
        <v>6</v>
      </c>
      <c r="C272" s="81">
        <v>365</v>
      </c>
      <c r="D272" s="81">
        <v>3</v>
      </c>
      <c r="E272" s="70">
        <v>1</v>
      </c>
      <c r="F272" s="81" t="s">
        <v>483</v>
      </c>
      <c r="G272" s="81" t="s">
        <v>480</v>
      </c>
      <c r="H272" s="81">
        <v>1967</v>
      </c>
      <c r="I272" s="81" t="s">
        <v>481</v>
      </c>
    </row>
    <row r="273" spans="1:9" x14ac:dyDescent="0.3">
      <c r="A273" s="23">
        <v>4</v>
      </c>
      <c r="B273" s="23">
        <v>7</v>
      </c>
      <c r="C273" s="81">
        <v>365</v>
      </c>
      <c r="D273" s="81">
        <v>1</v>
      </c>
      <c r="E273" s="70">
        <v>1</v>
      </c>
      <c r="F273" s="81" t="s">
        <v>483</v>
      </c>
      <c r="G273" s="81" t="s">
        <v>480</v>
      </c>
      <c r="H273" s="81">
        <v>1967</v>
      </c>
      <c r="I273" s="81" t="s">
        <v>481</v>
      </c>
    </row>
    <row r="274" spans="1:9" x14ac:dyDescent="0.3">
      <c r="A274" s="23">
        <v>4</v>
      </c>
      <c r="B274" s="23">
        <v>9</v>
      </c>
      <c r="C274" s="81">
        <v>365</v>
      </c>
      <c r="D274" s="81">
        <v>2</v>
      </c>
      <c r="E274" s="70">
        <v>1</v>
      </c>
      <c r="F274" s="81" t="s">
        <v>483</v>
      </c>
      <c r="G274" s="81" t="s">
        <v>480</v>
      </c>
      <c r="H274" s="81">
        <v>1967</v>
      </c>
      <c r="I274" s="81" t="s">
        <v>481</v>
      </c>
    </row>
    <row r="275" spans="1:9" x14ac:dyDescent="0.3">
      <c r="A275" s="23">
        <v>4</v>
      </c>
      <c r="B275" s="23">
        <v>10</v>
      </c>
      <c r="C275" s="81">
        <v>365</v>
      </c>
      <c r="D275" s="81">
        <v>3</v>
      </c>
      <c r="E275" s="70">
        <v>1</v>
      </c>
      <c r="F275" s="81" t="s">
        <v>483</v>
      </c>
      <c r="G275" s="81" t="s">
        <v>480</v>
      </c>
      <c r="H275" s="81">
        <v>1967</v>
      </c>
      <c r="I275" s="81" t="s">
        <v>481</v>
      </c>
    </row>
    <row r="276" spans="1:9" x14ac:dyDescent="0.3">
      <c r="A276" s="23">
        <v>5</v>
      </c>
      <c r="B276" s="23">
        <v>5</v>
      </c>
      <c r="C276" s="81">
        <v>365</v>
      </c>
      <c r="D276" s="81">
        <v>4</v>
      </c>
      <c r="E276" s="70">
        <v>1</v>
      </c>
      <c r="F276" s="81" t="s">
        <v>483</v>
      </c>
      <c r="G276" s="81" t="s">
        <v>480</v>
      </c>
      <c r="H276" s="81">
        <v>1967</v>
      </c>
      <c r="I276" s="81" t="s">
        <v>481</v>
      </c>
    </row>
    <row r="277" spans="1:9" x14ac:dyDescent="0.3">
      <c r="A277" s="23">
        <v>5</v>
      </c>
      <c r="B277" s="23">
        <v>6</v>
      </c>
      <c r="C277" s="81">
        <v>365</v>
      </c>
      <c r="D277" s="81">
        <v>1</v>
      </c>
      <c r="E277" s="70">
        <v>1</v>
      </c>
      <c r="F277" s="81" t="s">
        <v>483</v>
      </c>
      <c r="G277" s="81" t="s">
        <v>480</v>
      </c>
      <c r="H277" s="81">
        <v>1967</v>
      </c>
      <c r="I277" s="81" t="s">
        <v>481</v>
      </c>
    </row>
    <row r="278" spans="1:9" x14ac:dyDescent="0.3">
      <c r="A278" s="23">
        <v>5</v>
      </c>
      <c r="B278" s="23">
        <v>9</v>
      </c>
      <c r="C278" s="81">
        <v>365</v>
      </c>
      <c r="D278" s="81">
        <v>1</v>
      </c>
      <c r="E278" s="70">
        <v>1</v>
      </c>
      <c r="F278" s="81" t="s">
        <v>483</v>
      </c>
      <c r="G278" s="81" t="s">
        <v>480</v>
      </c>
      <c r="H278" s="81">
        <v>1967</v>
      </c>
      <c r="I278" s="81" t="s">
        <v>481</v>
      </c>
    </row>
    <row r="279" spans="1:9" x14ac:dyDescent="0.3">
      <c r="A279" s="23">
        <v>5</v>
      </c>
      <c r="B279" s="23">
        <v>10</v>
      </c>
      <c r="C279" s="81">
        <v>365</v>
      </c>
      <c r="D279" s="81">
        <v>3</v>
      </c>
      <c r="E279" s="70">
        <v>1</v>
      </c>
      <c r="F279" s="81" t="s">
        <v>483</v>
      </c>
      <c r="G279" s="81" t="s">
        <v>480</v>
      </c>
      <c r="H279" s="81">
        <v>1967</v>
      </c>
      <c r="I279" s="81" t="s">
        <v>481</v>
      </c>
    </row>
    <row r="280" spans="1:9" x14ac:dyDescent="0.3">
      <c r="A280" s="23">
        <v>6</v>
      </c>
      <c r="B280" s="23">
        <v>5</v>
      </c>
      <c r="C280" s="81">
        <v>365</v>
      </c>
      <c r="D280" s="81">
        <v>2</v>
      </c>
      <c r="E280" s="70">
        <v>1</v>
      </c>
      <c r="F280" s="81" t="s">
        <v>483</v>
      </c>
      <c r="G280" s="81" t="s">
        <v>480</v>
      </c>
      <c r="H280" s="81">
        <v>1967</v>
      </c>
      <c r="I280" s="81" t="s">
        <v>481</v>
      </c>
    </row>
    <row r="281" spans="1:9" x14ac:dyDescent="0.3">
      <c r="A281" s="23">
        <v>6</v>
      </c>
      <c r="B281" s="23">
        <v>6</v>
      </c>
      <c r="C281" s="81">
        <v>365</v>
      </c>
      <c r="D281" s="81">
        <v>1</v>
      </c>
      <c r="E281" s="70">
        <v>1</v>
      </c>
      <c r="F281" s="81" t="s">
        <v>483</v>
      </c>
      <c r="G281" s="81" t="s">
        <v>480</v>
      </c>
      <c r="H281" s="81">
        <v>1967</v>
      </c>
      <c r="I281" s="81" t="s">
        <v>481</v>
      </c>
    </row>
    <row r="282" spans="1:9" x14ac:dyDescent="0.3">
      <c r="A282" s="23">
        <v>6</v>
      </c>
      <c r="B282" s="23">
        <v>10</v>
      </c>
      <c r="C282" s="81">
        <v>365</v>
      </c>
      <c r="D282" s="81">
        <v>4</v>
      </c>
      <c r="E282" s="70">
        <v>1</v>
      </c>
      <c r="F282" s="81" t="s">
        <v>483</v>
      </c>
      <c r="G282" s="81" t="s">
        <v>480</v>
      </c>
      <c r="H282" s="81">
        <v>1967</v>
      </c>
      <c r="I282" s="81" t="s">
        <v>481</v>
      </c>
    </row>
    <row r="283" spans="1:9" x14ac:dyDescent="0.3">
      <c r="A283" s="23">
        <v>7</v>
      </c>
      <c r="B283" s="23">
        <v>5</v>
      </c>
      <c r="C283" s="81">
        <v>365</v>
      </c>
      <c r="D283" s="81">
        <v>1</v>
      </c>
      <c r="E283" s="70">
        <v>1</v>
      </c>
      <c r="F283" s="81" t="s">
        <v>483</v>
      </c>
      <c r="G283" s="81" t="s">
        <v>480</v>
      </c>
      <c r="H283" s="81">
        <v>1967</v>
      </c>
      <c r="I283" s="81" t="s">
        <v>481</v>
      </c>
    </row>
    <row r="284" spans="1:9" x14ac:dyDescent="0.3">
      <c r="A284" s="23">
        <v>7</v>
      </c>
      <c r="B284" s="23">
        <v>8</v>
      </c>
      <c r="C284" s="81">
        <v>365</v>
      </c>
      <c r="D284" s="81">
        <v>1</v>
      </c>
      <c r="E284" s="70">
        <v>1</v>
      </c>
      <c r="F284" s="81" t="s">
        <v>483</v>
      </c>
      <c r="G284" s="81" t="s">
        <v>480</v>
      </c>
      <c r="H284" s="81">
        <v>1967</v>
      </c>
      <c r="I284" s="81" t="s">
        <v>481</v>
      </c>
    </row>
    <row r="285" spans="1:9" x14ac:dyDescent="0.3">
      <c r="A285" s="23">
        <v>8</v>
      </c>
      <c r="B285" s="23">
        <v>8</v>
      </c>
      <c r="C285" s="81">
        <v>365</v>
      </c>
      <c r="D285" s="81">
        <v>2</v>
      </c>
      <c r="E285" s="70">
        <v>1</v>
      </c>
      <c r="F285" s="81" t="s">
        <v>483</v>
      </c>
      <c r="G285" s="81" t="s">
        <v>480</v>
      </c>
      <c r="H285" s="81">
        <v>1967</v>
      </c>
      <c r="I285" s="81" t="s">
        <v>481</v>
      </c>
    </row>
    <row r="286" spans="1:9" x14ac:dyDescent="0.3">
      <c r="A286" s="23">
        <v>8</v>
      </c>
      <c r="B286" s="23">
        <v>10</v>
      </c>
      <c r="C286" s="81">
        <v>365</v>
      </c>
      <c r="D286" s="81">
        <v>1</v>
      </c>
      <c r="E286" s="70">
        <v>1</v>
      </c>
      <c r="F286" s="81" t="s">
        <v>483</v>
      </c>
      <c r="G286" s="81" t="s">
        <v>480</v>
      </c>
      <c r="H286" s="81">
        <v>1967</v>
      </c>
      <c r="I286" s="81" t="s">
        <v>481</v>
      </c>
    </row>
    <row r="287" spans="1:9" x14ac:dyDescent="0.3">
      <c r="A287" s="23">
        <v>9</v>
      </c>
      <c r="B287" s="23">
        <v>10</v>
      </c>
      <c r="C287" s="81">
        <v>365</v>
      </c>
      <c r="D287" s="81">
        <v>1</v>
      </c>
      <c r="E287" s="70">
        <v>1</v>
      </c>
      <c r="F287" s="81" t="s">
        <v>483</v>
      </c>
      <c r="G287" s="81" t="s">
        <v>480</v>
      </c>
      <c r="H287" s="81">
        <v>1967</v>
      </c>
      <c r="I287" s="81" t="s">
        <v>481</v>
      </c>
    </row>
    <row r="288" spans="1:9" x14ac:dyDescent="0.3">
      <c r="A288" s="23">
        <v>10</v>
      </c>
      <c r="B288" s="23">
        <v>8</v>
      </c>
      <c r="C288" s="81">
        <v>365</v>
      </c>
      <c r="D288" s="81">
        <v>1</v>
      </c>
      <c r="E288" s="70">
        <v>1</v>
      </c>
      <c r="F288" s="81" t="s">
        <v>483</v>
      </c>
      <c r="G288" s="81" t="s">
        <v>480</v>
      </c>
      <c r="H288" s="81">
        <v>1967</v>
      </c>
      <c r="I288" s="81" t="s">
        <v>481</v>
      </c>
    </row>
    <row r="289" spans="1:9" x14ac:dyDescent="0.3">
      <c r="A289" s="23">
        <v>10</v>
      </c>
      <c r="B289" s="23">
        <v>10</v>
      </c>
      <c r="C289" s="81">
        <v>365</v>
      </c>
      <c r="D289" s="81">
        <v>4</v>
      </c>
      <c r="E289" s="70">
        <v>1</v>
      </c>
      <c r="F289" s="81" t="s">
        <v>483</v>
      </c>
      <c r="G289" s="81" t="s">
        <v>480</v>
      </c>
      <c r="H289" s="81">
        <v>1967</v>
      </c>
      <c r="I289" s="81" t="s">
        <v>481</v>
      </c>
    </row>
    <row r="290" spans="1:9" x14ac:dyDescent="0.3">
      <c r="A290" s="23">
        <v>0</v>
      </c>
      <c r="B290" s="23">
        <v>0</v>
      </c>
      <c r="C290" s="81">
        <v>365</v>
      </c>
      <c r="D290" s="81">
        <v>4</v>
      </c>
      <c r="E290" s="70">
        <v>2</v>
      </c>
      <c r="F290" s="81" t="s">
        <v>483</v>
      </c>
      <c r="G290" s="81" t="s">
        <v>480</v>
      </c>
      <c r="H290" s="81">
        <v>1967</v>
      </c>
      <c r="I290" s="81" t="s">
        <v>481</v>
      </c>
    </row>
    <row r="291" spans="1:9" x14ac:dyDescent="0.3">
      <c r="A291" s="23">
        <v>0</v>
      </c>
      <c r="B291" s="23">
        <v>4</v>
      </c>
      <c r="C291" s="81">
        <v>365</v>
      </c>
      <c r="D291" s="81">
        <v>4</v>
      </c>
      <c r="E291" s="70">
        <v>2</v>
      </c>
      <c r="F291" s="81" t="s">
        <v>483</v>
      </c>
      <c r="G291" s="81" t="s">
        <v>480</v>
      </c>
      <c r="H291" s="81">
        <v>1967</v>
      </c>
      <c r="I291" s="81" t="s">
        <v>481</v>
      </c>
    </row>
    <row r="292" spans="1:9" x14ac:dyDescent="0.3">
      <c r="A292" s="23">
        <v>0</v>
      </c>
      <c r="B292" s="23">
        <v>5</v>
      </c>
      <c r="C292" s="81">
        <v>365</v>
      </c>
      <c r="D292" s="81">
        <v>3</v>
      </c>
      <c r="E292" s="70">
        <v>2</v>
      </c>
      <c r="F292" s="81" t="s">
        <v>483</v>
      </c>
      <c r="G292" s="81" t="s">
        <v>480</v>
      </c>
      <c r="H292" s="81">
        <v>1967</v>
      </c>
      <c r="I292" s="81" t="s">
        <v>481</v>
      </c>
    </row>
    <row r="293" spans="1:9" x14ac:dyDescent="0.3">
      <c r="A293" s="23">
        <v>0</v>
      </c>
      <c r="B293" s="23">
        <v>6</v>
      </c>
      <c r="C293" s="81">
        <v>365</v>
      </c>
      <c r="D293" s="81">
        <v>2</v>
      </c>
      <c r="E293" s="70">
        <v>2</v>
      </c>
      <c r="F293" s="81" t="s">
        <v>483</v>
      </c>
      <c r="G293" s="81" t="s">
        <v>480</v>
      </c>
      <c r="H293" s="81">
        <v>1967</v>
      </c>
      <c r="I293" s="81" t="s">
        <v>481</v>
      </c>
    </row>
    <row r="294" spans="1:9" x14ac:dyDescent="0.3">
      <c r="A294" s="23">
        <v>0</v>
      </c>
      <c r="B294" s="23">
        <v>7</v>
      </c>
      <c r="C294" s="81">
        <v>365</v>
      </c>
      <c r="D294" s="81">
        <v>3</v>
      </c>
      <c r="E294" s="70">
        <v>2</v>
      </c>
      <c r="F294" s="81" t="s">
        <v>483</v>
      </c>
      <c r="G294" s="81" t="s">
        <v>480</v>
      </c>
      <c r="H294" s="81">
        <v>1967</v>
      </c>
      <c r="I294" s="81" t="s">
        <v>481</v>
      </c>
    </row>
    <row r="295" spans="1:9" x14ac:dyDescent="0.3">
      <c r="A295" s="23">
        <v>0</v>
      </c>
      <c r="B295" s="23">
        <v>8</v>
      </c>
      <c r="C295" s="81">
        <v>365</v>
      </c>
      <c r="D295" s="81">
        <v>5</v>
      </c>
      <c r="E295" s="70">
        <v>2</v>
      </c>
      <c r="F295" s="81" t="s">
        <v>483</v>
      </c>
      <c r="G295" s="81" t="s">
        <v>480</v>
      </c>
      <c r="H295" s="81">
        <v>1967</v>
      </c>
      <c r="I295" s="81" t="s">
        <v>481</v>
      </c>
    </row>
    <row r="296" spans="1:9" x14ac:dyDescent="0.3">
      <c r="A296" s="23">
        <v>0</v>
      </c>
      <c r="B296" s="23">
        <v>9</v>
      </c>
      <c r="C296" s="81">
        <v>365</v>
      </c>
      <c r="D296" s="81">
        <v>3</v>
      </c>
      <c r="E296" s="70">
        <v>2</v>
      </c>
      <c r="F296" s="81" t="s">
        <v>483</v>
      </c>
      <c r="G296" s="81" t="s">
        <v>480</v>
      </c>
      <c r="H296" s="81">
        <v>1967</v>
      </c>
      <c r="I296" s="81" t="s">
        <v>481</v>
      </c>
    </row>
    <row r="297" spans="1:9" x14ac:dyDescent="0.3">
      <c r="A297" s="23">
        <v>0</v>
      </c>
      <c r="B297" s="23">
        <v>10</v>
      </c>
      <c r="C297" s="81">
        <v>365</v>
      </c>
      <c r="D297" s="81">
        <v>6</v>
      </c>
      <c r="E297" s="70">
        <v>2</v>
      </c>
      <c r="F297" s="81" t="s">
        <v>483</v>
      </c>
      <c r="G297" s="81" t="s">
        <v>480</v>
      </c>
      <c r="H297" s="81">
        <v>1967</v>
      </c>
      <c r="I297" s="81" t="s">
        <v>481</v>
      </c>
    </row>
    <row r="298" spans="1:9" x14ac:dyDescent="0.3">
      <c r="A298" s="23">
        <v>3</v>
      </c>
      <c r="B298" s="23">
        <v>0</v>
      </c>
      <c r="C298" s="81">
        <v>365</v>
      </c>
      <c r="D298" s="81">
        <v>1</v>
      </c>
      <c r="E298" s="70">
        <v>2</v>
      </c>
      <c r="F298" s="81" t="s">
        <v>483</v>
      </c>
      <c r="G298" s="81" t="s">
        <v>480</v>
      </c>
      <c r="H298" s="81">
        <v>1967</v>
      </c>
      <c r="I298" s="81" t="s">
        <v>481</v>
      </c>
    </row>
    <row r="299" spans="1:9" x14ac:dyDescent="0.3">
      <c r="A299" s="23">
        <v>3</v>
      </c>
      <c r="B299" s="23">
        <v>4</v>
      </c>
      <c r="C299" s="81">
        <v>365</v>
      </c>
      <c r="D299" s="81">
        <v>1</v>
      </c>
      <c r="E299" s="70">
        <v>2</v>
      </c>
      <c r="F299" s="81" t="s">
        <v>483</v>
      </c>
      <c r="G299" s="81" t="s">
        <v>480</v>
      </c>
      <c r="H299" s="81">
        <v>1967</v>
      </c>
      <c r="I299" s="81" t="s">
        <v>481</v>
      </c>
    </row>
    <row r="300" spans="1:9" x14ac:dyDescent="0.3">
      <c r="A300" s="23">
        <v>3</v>
      </c>
      <c r="B300" s="23">
        <v>6</v>
      </c>
      <c r="C300" s="81">
        <v>365</v>
      </c>
      <c r="D300" s="81">
        <v>1</v>
      </c>
      <c r="E300" s="70">
        <v>2</v>
      </c>
      <c r="F300" s="81" t="s">
        <v>483</v>
      </c>
      <c r="G300" s="81" t="s">
        <v>480</v>
      </c>
      <c r="H300" s="81">
        <v>1967</v>
      </c>
      <c r="I300" s="81" t="s">
        <v>481</v>
      </c>
    </row>
    <row r="301" spans="1:9" x14ac:dyDescent="0.3">
      <c r="A301" s="23">
        <v>3</v>
      </c>
      <c r="B301" s="23">
        <v>7</v>
      </c>
      <c r="C301" s="81">
        <v>365</v>
      </c>
      <c r="D301" s="81">
        <v>1</v>
      </c>
      <c r="E301" s="70">
        <v>2</v>
      </c>
      <c r="F301" s="81" t="s">
        <v>483</v>
      </c>
      <c r="G301" s="81" t="s">
        <v>480</v>
      </c>
      <c r="H301" s="81">
        <v>1967</v>
      </c>
      <c r="I301" s="81" t="s">
        <v>481</v>
      </c>
    </row>
    <row r="302" spans="1:9" x14ac:dyDescent="0.3">
      <c r="A302" s="23">
        <v>3</v>
      </c>
      <c r="B302" s="23">
        <v>8</v>
      </c>
      <c r="C302" s="81">
        <v>365</v>
      </c>
      <c r="D302" s="81">
        <v>1</v>
      </c>
      <c r="E302" s="70">
        <v>2</v>
      </c>
      <c r="F302" s="81" t="s">
        <v>483</v>
      </c>
      <c r="G302" s="81" t="s">
        <v>480</v>
      </c>
      <c r="H302" s="81">
        <v>1967</v>
      </c>
      <c r="I302" s="81" t="s">
        <v>481</v>
      </c>
    </row>
    <row r="303" spans="1:9" x14ac:dyDescent="0.3">
      <c r="A303" s="23">
        <v>3</v>
      </c>
      <c r="B303" s="23">
        <v>9</v>
      </c>
      <c r="C303" s="81">
        <v>365</v>
      </c>
      <c r="D303" s="81">
        <v>2</v>
      </c>
      <c r="E303" s="70">
        <v>2</v>
      </c>
      <c r="F303" s="81" t="s">
        <v>483</v>
      </c>
      <c r="G303" s="81" t="s">
        <v>480</v>
      </c>
      <c r="H303" s="81">
        <v>1967</v>
      </c>
      <c r="I303" s="81" t="s">
        <v>481</v>
      </c>
    </row>
    <row r="304" spans="1:9" x14ac:dyDescent="0.3">
      <c r="A304" s="23">
        <v>3</v>
      </c>
      <c r="B304" s="23">
        <v>10</v>
      </c>
      <c r="C304" s="81">
        <v>365</v>
      </c>
      <c r="D304" s="81">
        <v>3</v>
      </c>
      <c r="E304" s="70">
        <v>2</v>
      </c>
      <c r="F304" s="81" t="s">
        <v>483</v>
      </c>
      <c r="G304" s="81" t="s">
        <v>480</v>
      </c>
      <c r="H304" s="81">
        <v>1967</v>
      </c>
      <c r="I304" s="81" t="s">
        <v>481</v>
      </c>
    </row>
    <row r="305" spans="1:9" x14ac:dyDescent="0.3">
      <c r="A305" s="23">
        <v>4</v>
      </c>
      <c r="B305" s="23">
        <v>0</v>
      </c>
      <c r="C305" s="81">
        <v>365</v>
      </c>
      <c r="D305" s="81">
        <v>1</v>
      </c>
      <c r="E305" s="70">
        <v>2</v>
      </c>
      <c r="F305" s="81" t="s">
        <v>483</v>
      </c>
      <c r="G305" s="81" t="s">
        <v>480</v>
      </c>
      <c r="H305" s="81">
        <v>1967</v>
      </c>
      <c r="I305" s="81" t="s">
        <v>481</v>
      </c>
    </row>
    <row r="306" spans="1:9" x14ac:dyDescent="0.3">
      <c r="A306" s="23">
        <v>4</v>
      </c>
      <c r="B306" s="23">
        <v>5</v>
      </c>
      <c r="C306" s="81">
        <v>365</v>
      </c>
      <c r="D306" s="81">
        <v>1</v>
      </c>
      <c r="E306" s="70">
        <v>2</v>
      </c>
      <c r="F306" s="81" t="s">
        <v>483</v>
      </c>
      <c r="G306" s="81" t="s">
        <v>480</v>
      </c>
      <c r="H306" s="81">
        <v>1967</v>
      </c>
      <c r="I306" s="81" t="s">
        <v>481</v>
      </c>
    </row>
    <row r="307" spans="1:9" x14ac:dyDescent="0.3">
      <c r="A307" s="23">
        <v>4</v>
      </c>
      <c r="B307" s="23">
        <v>6</v>
      </c>
      <c r="C307" s="81">
        <v>365</v>
      </c>
      <c r="D307" s="81">
        <v>1</v>
      </c>
      <c r="E307" s="70">
        <v>2</v>
      </c>
      <c r="F307" s="81" t="s">
        <v>483</v>
      </c>
      <c r="G307" s="81" t="s">
        <v>480</v>
      </c>
      <c r="H307" s="81">
        <v>1967</v>
      </c>
      <c r="I307" s="81" t="s">
        <v>481</v>
      </c>
    </row>
    <row r="308" spans="1:9" x14ac:dyDescent="0.3">
      <c r="A308" s="23">
        <v>4</v>
      </c>
      <c r="B308" s="23">
        <v>7</v>
      </c>
      <c r="C308" s="81">
        <v>365</v>
      </c>
      <c r="D308" s="81">
        <v>1</v>
      </c>
      <c r="E308" s="70">
        <v>2</v>
      </c>
      <c r="F308" s="81" t="s">
        <v>483</v>
      </c>
      <c r="G308" s="81" t="s">
        <v>480</v>
      </c>
      <c r="H308" s="81">
        <v>1967</v>
      </c>
      <c r="I308" s="81" t="s">
        <v>481</v>
      </c>
    </row>
    <row r="309" spans="1:9" x14ac:dyDescent="0.3">
      <c r="A309" s="23">
        <v>4</v>
      </c>
      <c r="B309" s="23">
        <v>8</v>
      </c>
      <c r="C309" s="81">
        <v>365</v>
      </c>
      <c r="D309" s="81">
        <v>3</v>
      </c>
      <c r="E309" s="70">
        <v>2</v>
      </c>
      <c r="F309" s="81" t="s">
        <v>483</v>
      </c>
      <c r="G309" s="81" t="s">
        <v>480</v>
      </c>
      <c r="H309" s="81">
        <v>1967</v>
      </c>
      <c r="I309" s="81" t="s">
        <v>481</v>
      </c>
    </row>
    <row r="310" spans="1:9" x14ac:dyDescent="0.3">
      <c r="A310" s="23">
        <v>4</v>
      </c>
      <c r="B310" s="23">
        <v>9</v>
      </c>
      <c r="C310" s="81">
        <v>365</v>
      </c>
      <c r="D310" s="81">
        <v>1</v>
      </c>
      <c r="E310" s="70">
        <v>2</v>
      </c>
      <c r="F310" s="81" t="s">
        <v>483</v>
      </c>
      <c r="G310" s="81" t="s">
        <v>480</v>
      </c>
      <c r="H310" s="81">
        <v>1967</v>
      </c>
      <c r="I310" s="81" t="s">
        <v>481</v>
      </c>
    </row>
    <row r="311" spans="1:9" x14ac:dyDescent="0.3">
      <c r="A311" s="23">
        <v>4</v>
      </c>
      <c r="B311" s="23">
        <v>10</v>
      </c>
      <c r="C311" s="81">
        <v>365</v>
      </c>
      <c r="D311" s="81">
        <v>3</v>
      </c>
      <c r="E311" s="70">
        <v>2</v>
      </c>
      <c r="F311" s="81" t="s">
        <v>483</v>
      </c>
      <c r="G311" s="81" t="s">
        <v>480</v>
      </c>
      <c r="H311" s="81">
        <v>1967</v>
      </c>
      <c r="I311" s="81" t="s">
        <v>481</v>
      </c>
    </row>
    <row r="312" spans="1:9" x14ac:dyDescent="0.3">
      <c r="A312" s="23">
        <v>5</v>
      </c>
      <c r="B312" s="23">
        <v>4</v>
      </c>
      <c r="C312" s="81">
        <v>365</v>
      </c>
      <c r="D312" s="81">
        <v>3</v>
      </c>
      <c r="E312" s="70">
        <v>2</v>
      </c>
      <c r="F312" s="81" t="s">
        <v>483</v>
      </c>
      <c r="G312" s="81" t="s">
        <v>480</v>
      </c>
      <c r="H312" s="81">
        <v>1967</v>
      </c>
      <c r="I312" s="81" t="s">
        <v>481</v>
      </c>
    </row>
    <row r="313" spans="1:9" x14ac:dyDescent="0.3">
      <c r="A313" s="23">
        <v>5</v>
      </c>
      <c r="B313" s="23">
        <v>5</v>
      </c>
      <c r="C313" s="81">
        <v>365</v>
      </c>
      <c r="D313" s="81">
        <v>1</v>
      </c>
      <c r="E313" s="70">
        <v>2</v>
      </c>
      <c r="F313" s="81" t="s">
        <v>483</v>
      </c>
      <c r="G313" s="81" t="s">
        <v>480</v>
      </c>
      <c r="H313" s="81">
        <v>1967</v>
      </c>
      <c r="I313" s="81" t="s">
        <v>481</v>
      </c>
    </row>
    <row r="314" spans="1:9" x14ac:dyDescent="0.3">
      <c r="A314" s="23">
        <v>5</v>
      </c>
      <c r="B314" s="23">
        <v>6</v>
      </c>
      <c r="C314" s="81">
        <v>365</v>
      </c>
      <c r="D314" s="81">
        <v>1</v>
      </c>
      <c r="E314" s="70">
        <v>2</v>
      </c>
      <c r="F314" s="81" t="s">
        <v>483</v>
      </c>
      <c r="G314" s="81" t="s">
        <v>480</v>
      </c>
      <c r="H314" s="81">
        <v>1967</v>
      </c>
      <c r="I314" s="81" t="s">
        <v>481</v>
      </c>
    </row>
    <row r="315" spans="1:9" x14ac:dyDescent="0.3">
      <c r="A315" s="23">
        <v>5</v>
      </c>
      <c r="B315" s="23">
        <v>7</v>
      </c>
      <c r="C315" s="81">
        <v>365</v>
      </c>
      <c r="D315" s="81">
        <v>3</v>
      </c>
      <c r="E315" s="70">
        <v>2</v>
      </c>
      <c r="F315" s="81" t="s">
        <v>483</v>
      </c>
      <c r="G315" s="81" t="s">
        <v>480</v>
      </c>
      <c r="H315" s="81">
        <v>1967</v>
      </c>
      <c r="I315" s="81" t="s">
        <v>481</v>
      </c>
    </row>
    <row r="316" spans="1:9" x14ac:dyDescent="0.3">
      <c r="A316" s="23">
        <v>5</v>
      </c>
      <c r="B316" s="23">
        <v>8</v>
      </c>
      <c r="C316" s="81">
        <v>365</v>
      </c>
      <c r="D316" s="81">
        <v>1</v>
      </c>
      <c r="E316" s="70">
        <v>2</v>
      </c>
      <c r="F316" s="81" t="s">
        <v>483</v>
      </c>
      <c r="G316" s="81" t="s">
        <v>480</v>
      </c>
      <c r="H316" s="81">
        <v>1967</v>
      </c>
      <c r="I316" s="81" t="s">
        <v>481</v>
      </c>
    </row>
    <row r="317" spans="1:9" x14ac:dyDescent="0.3">
      <c r="A317" s="23">
        <v>5</v>
      </c>
      <c r="B317" s="23">
        <v>9</v>
      </c>
      <c r="C317" s="81">
        <v>365</v>
      </c>
      <c r="D317" s="81">
        <v>3</v>
      </c>
      <c r="E317" s="70">
        <v>2</v>
      </c>
      <c r="F317" s="81" t="s">
        <v>483</v>
      </c>
      <c r="G317" s="81" t="s">
        <v>480</v>
      </c>
      <c r="H317" s="81">
        <v>1967</v>
      </c>
      <c r="I317" s="81" t="s">
        <v>481</v>
      </c>
    </row>
    <row r="318" spans="1:9" x14ac:dyDescent="0.3">
      <c r="A318" s="23">
        <v>5</v>
      </c>
      <c r="B318" s="23">
        <v>10</v>
      </c>
      <c r="C318" s="81">
        <v>365</v>
      </c>
      <c r="D318" s="81">
        <v>4</v>
      </c>
      <c r="E318" s="70">
        <v>2</v>
      </c>
      <c r="F318" s="81" t="s">
        <v>483</v>
      </c>
      <c r="G318" s="81" t="s">
        <v>480</v>
      </c>
      <c r="H318" s="81">
        <v>1967</v>
      </c>
      <c r="I318" s="81" t="s">
        <v>481</v>
      </c>
    </row>
    <row r="319" spans="1:9" x14ac:dyDescent="0.3">
      <c r="A319" s="23">
        <v>6</v>
      </c>
      <c r="B319" s="23">
        <v>4</v>
      </c>
      <c r="C319" s="81">
        <v>365</v>
      </c>
      <c r="D319" s="81">
        <v>1</v>
      </c>
      <c r="E319" s="70">
        <v>2</v>
      </c>
      <c r="F319" s="81" t="s">
        <v>483</v>
      </c>
      <c r="G319" s="81" t="s">
        <v>480</v>
      </c>
      <c r="H319" s="81">
        <v>1967</v>
      </c>
      <c r="I319" s="81" t="s">
        <v>481</v>
      </c>
    </row>
    <row r="320" spans="1:9" x14ac:dyDescent="0.3">
      <c r="A320" s="23">
        <v>6</v>
      </c>
      <c r="B320" s="23">
        <v>6</v>
      </c>
      <c r="C320" s="81">
        <v>365</v>
      </c>
      <c r="D320" s="81">
        <v>1</v>
      </c>
      <c r="E320" s="70">
        <v>2</v>
      </c>
      <c r="F320" s="81" t="s">
        <v>483</v>
      </c>
      <c r="G320" s="81" t="s">
        <v>480</v>
      </c>
      <c r="H320" s="81">
        <v>1967</v>
      </c>
      <c r="I320" s="81" t="s">
        <v>481</v>
      </c>
    </row>
    <row r="321" spans="1:10" x14ac:dyDescent="0.3">
      <c r="A321" s="23">
        <v>6</v>
      </c>
      <c r="B321" s="23">
        <v>7</v>
      </c>
      <c r="C321" s="81">
        <v>365</v>
      </c>
      <c r="D321" s="81">
        <v>1</v>
      </c>
      <c r="E321" s="70">
        <v>2</v>
      </c>
      <c r="F321" s="81" t="s">
        <v>483</v>
      </c>
      <c r="G321" s="81" t="s">
        <v>480</v>
      </c>
      <c r="H321" s="81">
        <v>1967</v>
      </c>
      <c r="I321" s="81" t="s">
        <v>481</v>
      </c>
    </row>
    <row r="322" spans="1:10" x14ac:dyDescent="0.3">
      <c r="A322" s="23">
        <v>6</v>
      </c>
      <c r="B322" s="23">
        <v>10</v>
      </c>
      <c r="C322" s="81">
        <v>365</v>
      </c>
      <c r="D322" s="81">
        <v>3</v>
      </c>
      <c r="E322" s="70">
        <v>2</v>
      </c>
      <c r="F322" s="81" t="s">
        <v>483</v>
      </c>
      <c r="G322" s="81" t="s">
        <v>480</v>
      </c>
      <c r="H322" s="81">
        <v>1967</v>
      </c>
      <c r="I322" s="81" t="s">
        <v>481</v>
      </c>
    </row>
    <row r="323" spans="1:10" x14ac:dyDescent="0.3">
      <c r="A323" s="23">
        <v>7</v>
      </c>
      <c r="B323" s="23">
        <v>8</v>
      </c>
      <c r="C323" s="81">
        <v>365</v>
      </c>
      <c r="D323" s="81">
        <v>1</v>
      </c>
      <c r="E323" s="70">
        <v>2</v>
      </c>
      <c r="F323" s="81" t="s">
        <v>483</v>
      </c>
      <c r="G323" s="81" t="s">
        <v>480</v>
      </c>
      <c r="H323" s="81">
        <v>1967</v>
      </c>
      <c r="I323" s="81" t="s">
        <v>481</v>
      </c>
    </row>
    <row r="324" spans="1:10" x14ac:dyDescent="0.3">
      <c r="A324" s="23">
        <v>7</v>
      </c>
      <c r="B324" s="23">
        <v>9</v>
      </c>
      <c r="C324" s="81">
        <v>365</v>
      </c>
      <c r="D324" s="81">
        <v>1</v>
      </c>
      <c r="E324" s="70">
        <v>2</v>
      </c>
      <c r="F324" s="81" t="s">
        <v>483</v>
      </c>
      <c r="G324" s="81" t="s">
        <v>480</v>
      </c>
      <c r="H324" s="81">
        <v>1967</v>
      </c>
      <c r="I324" s="81" t="s">
        <v>481</v>
      </c>
    </row>
    <row r="325" spans="1:10" x14ac:dyDescent="0.3">
      <c r="A325" s="23">
        <v>7</v>
      </c>
      <c r="B325" s="23">
        <v>10</v>
      </c>
      <c r="C325" s="81">
        <v>365</v>
      </c>
      <c r="D325" s="81">
        <v>1</v>
      </c>
      <c r="E325" s="70">
        <v>2</v>
      </c>
      <c r="F325" s="81" t="s">
        <v>483</v>
      </c>
      <c r="G325" s="81" t="s">
        <v>480</v>
      </c>
      <c r="H325" s="81">
        <v>1967</v>
      </c>
      <c r="I325" s="81" t="s">
        <v>481</v>
      </c>
    </row>
    <row r="326" spans="1:10" x14ac:dyDescent="0.3">
      <c r="A326" s="23">
        <v>8</v>
      </c>
      <c r="B326" s="23">
        <v>8</v>
      </c>
      <c r="C326" s="81">
        <v>365</v>
      </c>
      <c r="D326" s="81">
        <v>1</v>
      </c>
      <c r="E326" s="70">
        <v>2</v>
      </c>
      <c r="F326" s="81" t="s">
        <v>483</v>
      </c>
      <c r="G326" s="81" t="s">
        <v>480</v>
      </c>
      <c r="H326" s="81">
        <v>1967</v>
      </c>
      <c r="I326" s="81" t="s">
        <v>481</v>
      </c>
    </row>
    <row r="327" spans="1:10" x14ac:dyDescent="0.3">
      <c r="A327" s="23">
        <v>8</v>
      </c>
      <c r="B327" s="23">
        <v>9</v>
      </c>
      <c r="C327" s="81">
        <v>365</v>
      </c>
      <c r="D327" s="81">
        <v>1</v>
      </c>
      <c r="E327" s="70">
        <v>2</v>
      </c>
      <c r="F327" s="81" t="s">
        <v>483</v>
      </c>
      <c r="G327" s="81" t="s">
        <v>480</v>
      </c>
      <c r="H327" s="81">
        <v>1967</v>
      </c>
      <c r="I327" s="81" t="s">
        <v>481</v>
      </c>
    </row>
    <row r="328" spans="1:10" x14ac:dyDescent="0.3">
      <c r="A328" s="23">
        <v>8</v>
      </c>
      <c r="B328" s="23">
        <v>10</v>
      </c>
      <c r="C328" s="81">
        <v>365</v>
      </c>
      <c r="D328" s="81">
        <v>3</v>
      </c>
      <c r="E328" s="70">
        <v>2</v>
      </c>
      <c r="F328" s="81" t="s">
        <v>483</v>
      </c>
      <c r="G328" s="81" t="s">
        <v>480</v>
      </c>
      <c r="H328" s="81">
        <v>1967</v>
      </c>
      <c r="I328" s="81" t="s">
        <v>481</v>
      </c>
    </row>
    <row r="329" spans="1:10" x14ac:dyDescent="0.3">
      <c r="A329" s="23">
        <v>9</v>
      </c>
      <c r="B329" s="23">
        <v>6</v>
      </c>
      <c r="C329" s="81">
        <v>365</v>
      </c>
      <c r="D329" s="81">
        <v>1</v>
      </c>
      <c r="E329" s="70">
        <v>2</v>
      </c>
      <c r="F329" s="81" t="s">
        <v>483</v>
      </c>
      <c r="G329" s="81" t="s">
        <v>480</v>
      </c>
      <c r="H329" s="81">
        <v>1967</v>
      </c>
      <c r="I329" s="81" t="s">
        <v>481</v>
      </c>
    </row>
    <row r="330" spans="1:10" x14ac:dyDescent="0.3">
      <c r="A330" s="23">
        <v>9</v>
      </c>
      <c r="B330" s="23">
        <v>9</v>
      </c>
      <c r="C330" s="81">
        <v>365</v>
      </c>
      <c r="D330" s="81">
        <v>1</v>
      </c>
      <c r="E330" s="70">
        <v>2</v>
      </c>
      <c r="F330" s="81" t="s">
        <v>483</v>
      </c>
      <c r="G330" s="81" t="s">
        <v>480</v>
      </c>
      <c r="H330" s="81">
        <v>1967</v>
      </c>
      <c r="I330" s="81" t="s">
        <v>481</v>
      </c>
    </row>
    <row r="331" spans="1:10" x14ac:dyDescent="0.3">
      <c r="A331" s="23">
        <v>9</v>
      </c>
      <c r="B331" s="23">
        <v>10</v>
      </c>
      <c r="C331" s="81">
        <v>365</v>
      </c>
      <c r="D331" s="81">
        <v>1</v>
      </c>
      <c r="E331" s="70">
        <v>2</v>
      </c>
      <c r="F331" s="81" t="s">
        <v>483</v>
      </c>
      <c r="G331" s="81" t="s">
        <v>480</v>
      </c>
      <c r="H331" s="81">
        <v>1967</v>
      </c>
      <c r="I331" s="81" t="s">
        <v>481</v>
      </c>
    </row>
    <row r="332" spans="1:10" x14ac:dyDescent="0.3">
      <c r="A332" s="23">
        <v>10</v>
      </c>
      <c r="B332" s="23">
        <v>10</v>
      </c>
      <c r="C332" s="81">
        <v>365</v>
      </c>
      <c r="D332" s="81">
        <v>6</v>
      </c>
      <c r="E332" s="70">
        <v>2</v>
      </c>
      <c r="F332" s="81" t="s">
        <v>483</v>
      </c>
      <c r="G332" s="81" t="s">
        <v>480</v>
      </c>
      <c r="H332" s="81">
        <v>1967</v>
      </c>
      <c r="I332" s="81" t="s">
        <v>481</v>
      </c>
    </row>
    <row r="333" spans="1:10" x14ac:dyDescent="0.3">
      <c r="A333" s="23">
        <v>0</v>
      </c>
      <c r="B333" s="23">
        <v>0</v>
      </c>
      <c r="C333" s="81">
        <v>365</v>
      </c>
      <c r="D333" s="81">
        <v>14</v>
      </c>
      <c r="E333" s="70">
        <v>3</v>
      </c>
      <c r="F333" s="81" t="s">
        <v>483</v>
      </c>
      <c r="G333" s="81" t="s">
        <v>480</v>
      </c>
      <c r="H333" s="81">
        <v>1967</v>
      </c>
      <c r="I333" s="81" t="s">
        <v>481</v>
      </c>
    </row>
    <row r="334" spans="1:10" x14ac:dyDescent="0.3">
      <c r="A334" s="23">
        <v>0</v>
      </c>
      <c r="B334" s="23">
        <v>3</v>
      </c>
      <c r="C334" s="81">
        <v>365</v>
      </c>
      <c r="D334" s="81">
        <v>5</v>
      </c>
      <c r="E334" s="70">
        <v>3</v>
      </c>
      <c r="F334" s="81" t="s">
        <v>483</v>
      </c>
      <c r="G334" s="81" t="s">
        <v>480</v>
      </c>
      <c r="H334" s="81">
        <v>1967</v>
      </c>
      <c r="I334" s="81" t="s">
        <v>481</v>
      </c>
    </row>
    <row r="335" spans="1:10" x14ac:dyDescent="0.3">
      <c r="A335" s="23">
        <v>0</v>
      </c>
      <c r="B335" s="23">
        <v>4</v>
      </c>
      <c r="C335" s="81">
        <v>365</v>
      </c>
      <c r="D335" s="81">
        <v>6</v>
      </c>
      <c r="E335" s="70">
        <v>3</v>
      </c>
      <c r="F335" s="81" t="s">
        <v>483</v>
      </c>
      <c r="G335" s="81" t="s">
        <v>480</v>
      </c>
      <c r="H335" s="81">
        <v>1967</v>
      </c>
      <c r="I335" s="81" t="s">
        <v>481</v>
      </c>
    </row>
    <row r="336" spans="1:10" s="85" customFormat="1" x14ac:dyDescent="0.3">
      <c r="A336" s="87">
        <v>0</v>
      </c>
      <c r="B336" s="87">
        <v>6</v>
      </c>
      <c r="C336" s="81">
        <v>365</v>
      </c>
      <c r="D336" s="81">
        <v>5</v>
      </c>
      <c r="E336" s="70">
        <v>3</v>
      </c>
      <c r="F336" s="81" t="s">
        <v>483</v>
      </c>
      <c r="G336" s="81" t="s">
        <v>480</v>
      </c>
      <c r="H336" s="81">
        <v>1967</v>
      </c>
      <c r="I336" s="81" t="s">
        <v>481</v>
      </c>
      <c r="J336" s="81"/>
    </row>
    <row r="337" spans="1:10" s="85" customFormat="1" x14ac:dyDescent="0.3">
      <c r="A337" s="87">
        <v>0</v>
      </c>
      <c r="B337" s="87">
        <v>7</v>
      </c>
      <c r="C337" s="81">
        <v>365</v>
      </c>
      <c r="D337" s="81">
        <v>1</v>
      </c>
      <c r="E337" s="70">
        <v>3</v>
      </c>
      <c r="F337" s="81" t="s">
        <v>483</v>
      </c>
      <c r="G337" s="81" t="s">
        <v>480</v>
      </c>
      <c r="H337" s="81">
        <v>1967</v>
      </c>
      <c r="I337" s="81" t="s">
        <v>481</v>
      </c>
      <c r="J337" s="81"/>
    </row>
    <row r="338" spans="1:10" s="85" customFormat="1" x14ac:dyDescent="0.3">
      <c r="A338" s="87">
        <v>0</v>
      </c>
      <c r="B338" s="87">
        <v>8</v>
      </c>
      <c r="C338" s="81">
        <v>365</v>
      </c>
      <c r="D338" s="81">
        <v>3</v>
      </c>
      <c r="E338" s="70">
        <v>3</v>
      </c>
      <c r="F338" s="81" t="s">
        <v>483</v>
      </c>
      <c r="G338" s="81" t="s">
        <v>480</v>
      </c>
      <c r="H338" s="81">
        <v>1967</v>
      </c>
      <c r="I338" s="81" t="s">
        <v>481</v>
      </c>
      <c r="J338" s="81"/>
    </row>
    <row r="339" spans="1:10" s="85" customFormat="1" x14ac:dyDescent="0.3">
      <c r="A339" s="87">
        <v>0</v>
      </c>
      <c r="B339" s="87">
        <v>9</v>
      </c>
      <c r="C339" s="81">
        <v>365</v>
      </c>
      <c r="D339" s="81">
        <v>2</v>
      </c>
      <c r="E339" s="70">
        <v>3</v>
      </c>
      <c r="F339" s="81" t="s">
        <v>483</v>
      </c>
      <c r="G339" s="81" t="s">
        <v>480</v>
      </c>
      <c r="H339" s="81">
        <v>1967</v>
      </c>
      <c r="I339" s="81" t="s">
        <v>481</v>
      </c>
      <c r="J339" s="81"/>
    </row>
    <row r="340" spans="1:10" s="85" customFormat="1" x14ac:dyDescent="0.3">
      <c r="A340" s="87">
        <v>0</v>
      </c>
      <c r="B340" s="87">
        <v>10</v>
      </c>
      <c r="C340" s="81">
        <v>365</v>
      </c>
      <c r="D340" s="81">
        <v>6</v>
      </c>
      <c r="E340" s="70">
        <v>3</v>
      </c>
      <c r="F340" s="81" t="s">
        <v>483</v>
      </c>
      <c r="G340" s="81" t="s">
        <v>480</v>
      </c>
      <c r="H340" s="81">
        <v>1967</v>
      </c>
      <c r="I340" s="81" t="s">
        <v>481</v>
      </c>
      <c r="J340" s="81"/>
    </row>
    <row r="341" spans="1:10" s="85" customFormat="1" x14ac:dyDescent="0.3">
      <c r="A341" s="87">
        <v>3</v>
      </c>
      <c r="B341" s="87">
        <v>0</v>
      </c>
      <c r="C341" s="81">
        <v>365</v>
      </c>
      <c r="D341" s="81">
        <v>2</v>
      </c>
      <c r="E341" s="70">
        <v>3</v>
      </c>
      <c r="F341" s="81" t="s">
        <v>483</v>
      </c>
      <c r="G341" s="81" t="s">
        <v>480</v>
      </c>
      <c r="H341" s="81">
        <v>1967</v>
      </c>
      <c r="I341" s="81" t="s">
        <v>481</v>
      </c>
      <c r="J341" s="81"/>
    </row>
    <row r="342" spans="1:10" s="85" customFormat="1" x14ac:dyDescent="0.3">
      <c r="A342" s="87">
        <v>3</v>
      </c>
      <c r="B342" s="87">
        <v>3</v>
      </c>
      <c r="C342" s="81">
        <v>365</v>
      </c>
      <c r="D342" s="81">
        <v>1</v>
      </c>
      <c r="E342" s="70">
        <v>3</v>
      </c>
      <c r="F342" s="81" t="s">
        <v>483</v>
      </c>
      <c r="G342" s="81" t="s">
        <v>480</v>
      </c>
      <c r="H342" s="81">
        <v>1967</v>
      </c>
      <c r="I342" s="81" t="s">
        <v>481</v>
      </c>
      <c r="J342" s="81"/>
    </row>
    <row r="343" spans="1:10" s="85" customFormat="1" x14ac:dyDescent="0.3">
      <c r="A343" s="87">
        <v>3</v>
      </c>
      <c r="B343" s="87">
        <v>4</v>
      </c>
      <c r="C343" s="81">
        <v>365</v>
      </c>
      <c r="D343" s="81">
        <v>1</v>
      </c>
      <c r="E343" s="70">
        <v>3</v>
      </c>
      <c r="F343" s="81" t="s">
        <v>483</v>
      </c>
      <c r="G343" s="81" t="s">
        <v>480</v>
      </c>
      <c r="H343" s="81">
        <v>1967</v>
      </c>
      <c r="I343" s="81" t="s">
        <v>481</v>
      </c>
      <c r="J343" s="81"/>
    </row>
    <row r="344" spans="1:10" s="85" customFormat="1" x14ac:dyDescent="0.3">
      <c r="A344" s="87">
        <v>3</v>
      </c>
      <c r="B344" s="87">
        <v>5</v>
      </c>
      <c r="C344" s="81">
        <v>365</v>
      </c>
      <c r="D344" s="81">
        <v>2</v>
      </c>
      <c r="E344" s="70">
        <v>3</v>
      </c>
      <c r="F344" s="81" t="s">
        <v>483</v>
      </c>
      <c r="G344" s="81" t="s">
        <v>480</v>
      </c>
      <c r="H344" s="81">
        <v>1967</v>
      </c>
      <c r="I344" s="81" t="s">
        <v>481</v>
      </c>
      <c r="J344" s="81"/>
    </row>
    <row r="345" spans="1:10" s="85" customFormat="1" x14ac:dyDescent="0.3">
      <c r="A345" s="87">
        <v>3</v>
      </c>
      <c r="B345" s="87">
        <v>6</v>
      </c>
      <c r="C345" s="81">
        <v>365</v>
      </c>
      <c r="D345" s="81">
        <v>2</v>
      </c>
      <c r="E345" s="70">
        <v>3</v>
      </c>
      <c r="F345" s="81" t="s">
        <v>483</v>
      </c>
      <c r="G345" s="81" t="s">
        <v>480</v>
      </c>
      <c r="H345" s="81">
        <v>1967</v>
      </c>
      <c r="I345" s="81" t="s">
        <v>481</v>
      </c>
      <c r="J345" s="81"/>
    </row>
    <row r="346" spans="1:10" s="85" customFormat="1" x14ac:dyDescent="0.3">
      <c r="A346" s="87">
        <v>3</v>
      </c>
      <c r="B346" s="87">
        <v>8</v>
      </c>
      <c r="C346" s="81">
        <v>365</v>
      </c>
      <c r="D346" s="81">
        <v>2</v>
      </c>
      <c r="E346" s="70">
        <v>3</v>
      </c>
      <c r="F346" s="81" t="s">
        <v>483</v>
      </c>
      <c r="G346" s="81" t="s">
        <v>480</v>
      </c>
      <c r="H346" s="81">
        <v>1967</v>
      </c>
      <c r="I346" s="81" t="s">
        <v>481</v>
      </c>
      <c r="J346" s="81"/>
    </row>
    <row r="347" spans="1:10" s="85" customFormat="1" x14ac:dyDescent="0.3">
      <c r="A347" s="87">
        <v>3</v>
      </c>
      <c r="B347" s="87">
        <v>9</v>
      </c>
      <c r="C347" s="81">
        <v>365</v>
      </c>
      <c r="D347" s="81">
        <v>1</v>
      </c>
      <c r="E347" s="70">
        <v>3</v>
      </c>
      <c r="F347" s="81" t="s">
        <v>483</v>
      </c>
      <c r="G347" s="81" t="s">
        <v>480</v>
      </c>
      <c r="H347" s="81">
        <v>1967</v>
      </c>
      <c r="I347" s="81" t="s">
        <v>481</v>
      </c>
      <c r="J347" s="81"/>
    </row>
    <row r="348" spans="1:10" s="85" customFormat="1" x14ac:dyDescent="0.3">
      <c r="A348" s="87">
        <v>3</v>
      </c>
      <c r="B348" s="87">
        <v>10</v>
      </c>
      <c r="C348" s="81">
        <v>365</v>
      </c>
      <c r="D348" s="81">
        <v>1</v>
      </c>
      <c r="E348" s="70">
        <v>3</v>
      </c>
      <c r="F348" s="81" t="s">
        <v>483</v>
      </c>
      <c r="G348" s="81" t="s">
        <v>480</v>
      </c>
      <c r="H348" s="81">
        <v>1967</v>
      </c>
      <c r="I348" s="81" t="s">
        <v>481</v>
      </c>
      <c r="J348" s="81"/>
    </row>
    <row r="349" spans="1:10" s="85" customFormat="1" x14ac:dyDescent="0.3">
      <c r="A349" s="87">
        <v>4</v>
      </c>
      <c r="B349" s="87">
        <v>0</v>
      </c>
      <c r="C349" s="81">
        <v>365</v>
      </c>
      <c r="D349" s="81">
        <v>1</v>
      </c>
      <c r="E349" s="70">
        <v>3</v>
      </c>
      <c r="F349" s="81" t="s">
        <v>483</v>
      </c>
      <c r="G349" s="81" t="s">
        <v>480</v>
      </c>
      <c r="H349" s="81">
        <v>1967</v>
      </c>
      <c r="I349" s="81" t="s">
        <v>481</v>
      </c>
      <c r="J349" s="81"/>
    </row>
    <row r="350" spans="1:10" s="85" customFormat="1" x14ac:dyDescent="0.3">
      <c r="A350" s="87">
        <v>4</v>
      </c>
      <c r="B350" s="87">
        <v>4</v>
      </c>
      <c r="C350" s="81">
        <v>365</v>
      </c>
      <c r="D350" s="81">
        <v>2</v>
      </c>
      <c r="E350" s="70">
        <v>3</v>
      </c>
      <c r="F350" s="81" t="s">
        <v>483</v>
      </c>
      <c r="G350" s="81" t="s">
        <v>480</v>
      </c>
      <c r="H350" s="81">
        <v>1967</v>
      </c>
      <c r="I350" s="81" t="s">
        <v>481</v>
      </c>
      <c r="J350" s="81"/>
    </row>
    <row r="351" spans="1:10" s="85" customFormat="1" x14ac:dyDescent="0.3">
      <c r="A351" s="87">
        <v>4</v>
      </c>
      <c r="B351" s="87">
        <v>6</v>
      </c>
      <c r="C351" s="81">
        <v>365</v>
      </c>
      <c r="D351" s="81">
        <v>1</v>
      </c>
      <c r="E351" s="70">
        <v>3</v>
      </c>
      <c r="F351" s="81" t="s">
        <v>483</v>
      </c>
      <c r="G351" s="81" t="s">
        <v>480</v>
      </c>
      <c r="H351" s="81">
        <v>1967</v>
      </c>
      <c r="I351" s="81" t="s">
        <v>481</v>
      </c>
      <c r="J351" s="81"/>
    </row>
    <row r="352" spans="1:10" s="85" customFormat="1" x14ac:dyDescent="0.3">
      <c r="A352" s="87">
        <v>4</v>
      </c>
      <c r="B352" s="87">
        <v>8</v>
      </c>
      <c r="C352" s="81">
        <v>365</v>
      </c>
      <c r="D352" s="81">
        <v>1</v>
      </c>
      <c r="E352" s="70">
        <v>3</v>
      </c>
      <c r="F352" s="81" t="s">
        <v>483</v>
      </c>
      <c r="G352" s="81" t="s">
        <v>480</v>
      </c>
      <c r="H352" s="81">
        <v>1967</v>
      </c>
      <c r="I352" s="81" t="s">
        <v>481</v>
      </c>
      <c r="J352" s="81"/>
    </row>
    <row r="353" spans="1:10" s="85" customFormat="1" x14ac:dyDescent="0.3">
      <c r="A353" s="87">
        <v>4</v>
      </c>
      <c r="B353" s="87">
        <v>9</v>
      </c>
      <c r="C353" s="81">
        <v>365</v>
      </c>
      <c r="D353" s="81">
        <v>1</v>
      </c>
      <c r="E353" s="70">
        <v>3</v>
      </c>
      <c r="F353" s="81" t="s">
        <v>483</v>
      </c>
      <c r="G353" s="81" t="s">
        <v>480</v>
      </c>
      <c r="H353" s="81">
        <v>1967</v>
      </c>
      <c r="I353" s="81" t="s">
        <v>481</v>
      </c>
      <c r="J353" s="81"/>
    </row>
    <row r="354" spans="1:10" s="85" customFormat="1" x14ac:dyDescent="0.3">
      <c r="A354" s="87">
        <v>4</v>
      </c>
      <c r="B354" s="87">
        <v>10</v>
      </c>
      <c r="C354" s="81">
        <v>365</v>
      </c>
      <c r="D354" s="81">
        <v>1</v>
      </c>
      <c r="E354" s="70">
        <v>3</v>
      </c>
      <c r="F354" s="81" t="s">
        <v>483</v>
      </c>
      <c r="G354" s="81" t="s">
        <v>480</v>
      </c>
      <c r="H354" s="81">
        <v>1967</v>
      </c>
      <c r="I354" s="81" t="s">
        <v>481</v>
      </c>
      <c r="J354" s="81"/>
    </row>
    <row r="355" spans="1:10" s="85" customFormat="1" x14ac:dyDescent="0.3">
      <c r="A355" s="87">
        <v>5</v>
      </c>
      <c r="B355" s="87">
        <v>5</v>
      </c>
      <c r="C355" s="81">
        <v>365</v>
      </c>
      <c r="D355" s="81">
        <v>1</v>
      </c>
      <c r="E355" s="70">
        <v>3</v>
      </c>
      <c r="F355" s="81" t="s">
        <v>483</v>
      </c>
      <c r="G355" s="81" t="s">
        <v>480</v>
      </c>
      <c r="H355" s="81">
        <v>1967</v>
      </c>
      <c r="I355" s="81" t="s">
        <v>481</v>
      </c>
      <c r="J355" s="81"/>
    </row>
    <row r="356" spans="1:10" s="85" customFormat="1" x14ac:dyDescent="0.3">
      <c r="A356" s="87">
        <v>5</v>
      </c>
      <c r="B356" s="87">
        <v>6</v>
      </c>
      <c r="C356" s="81">
        <v>365</v>
      </c>
      <c r="D356" s="81">
        <v>1</v>
      </c>
      <c r="E356" s="70">
        <v>3</v>
      </c>
      <c r="F356" s="81" t="s">
        <v>483</v>
      </c>
      <c r="G356" s="81" t="s">
        <v>480</v>
      </c>
      <c r="H356" s="81">
        <v>1967</v>
      </c>
      <c r="I356" s="81" t="s">
        <v>481</v>
      </c>
      <c r="J356" s="81"/>
    </row>
    <row r="357" spans="1:10" s="85" customFormat="1" x14ac:dyDescent="0.3">
      <c r="A357" s="87">
        <v>5</v>
      </c>
      <c r="B357" s="87">
        <v>7</v>
      </c>
      <c r="C357" s="81">
        <v>365</v>
      </c>
      <c r="D357" s="81">
        <v>1</v>
      </c>
      <c r="E357" s="70">
        <v>3</v>
      </c>
      <c r="F357" s="81" t="s">
        <v>483</v>
      </c>
      <c r="G357" s="81" t="s">
        <v>480</v>
      </c>
      <c r="H357" s="81">
        <v>1967</v>
      </c>
      <c r="I357" s="81" t="s">
        <v>481</v>
      </c>
      <c r="J357" s="81"/>
    </row>
    <row r="358" spans="1:10" s="85" customFormat="1" x14ac:dyDescent="0.3">
      <c r="A358" s="87">
        <v>5</v>
      </c>
      <c r="B358" s="87">
        <v>8</v>
      </c>
      <c r="C358" s="81">
        <v>365</v>
      </c>
      <c r="D358" s="81">
        <v>1</v>
      </c>
      <c r="E358" s="70">
        <v>3</v>
      </c>
      <c r="F358" s="81" t="s">
        <v>483</v>
      </c>
      <c r="G358" s="81" t="s">
        <v>480</v>
      </c>
      <c r="H358" s="81">
        <v>1967</v>
      </c>
      <c r="I358" s="81" t="s">
        <v>481</v>
      </c>
      <c r="J358" s="81"/>
    </row>
    <row r="359" spans="1:10" s="85" customFormat="1" x14ac:dyDescent="0.3">
      <c r="A359" s="87">
        <v>5</v>
      </c>
      <c r="B359" s="87">
        <v>8</v>
      </c>
      <c r="C359" s="81">
        <v>365</v>
      </c>
      <c r="D359" s="81">
        <v>1</v>
      </c>
      <c r="E359" s="70">
        <v>3</v>
      </c>
      <c r="F359" s="81" t="s">
        <v>483</v>
      </c>
      <c r="G359" s="81" t="s">
        <v>480</v>
      </c>
      <c r="H359" s="81">
        <v>1967</v>
      </c>
      <c r="I359" s="81" t="s">
        <v>481</v>
      </c>
      <c r="J359" s="81"/>
    </row>
    <row r="360" spans="1:10" s="85" customFormat="1" x14ac:dyDescent="0.3">
      <c r="A360" s="87">
        <v>5</v>
      </c>
      <c r="B360" s="87">
        <v>9</v>
      </c>
      <c r="C360" s="81">
        <v>365</v>
      </c>
      <c r="D360" s="81">
        <v>1</v>
      </c>
      <c r="E360" s="70">
        <v>3</v>
      </c>
      <c r="F360" s="81" t="s">
        <v>483</v>
      </c>
      <c r="G360" s="81" t="s">
        <v>480</v>
      </c>
      <c r="H360" s="81">
        <v>1967</v>
      </c>
      <c r="I360" s="81" t="s">
        <v>481</v>
      </c>
      <c r="J360" s="81"/>
    </row>
    <row r="361" spans="1:10" s="85" customFormat="1" x14ac:dyDescent="0.3">
      <c r="A361" s="87">
        <v>5</v>
      </c>
      <c r="B361" s="87">
        <v>10</v>
      </c>
      <c r="C361" s="81">
        <v>365</v>
      </c>
      <c r="D361" s="81">
        <v>2</v>
      </c>
      <c r="E361" s="70">
        <v>3</v>
      </c>
      <c r="F361" s="81" t="s">
        <v>483</v>
      </c>
      <c r="G361" s="81" t="s">
        <v>480</v>
      </c>
      <c r="H361" s="81">
        <v>1967</v>
      </c>
      <c r="I361" s="81" t="s">
        <v>481</v>
      </c>
      <c r="J361" s="81"/>
    </row>
    <row r="362" spans="1:10" s="85" customFormat="1" x14ac:dyDescent="0.3">
      <c r="A362" s="87">
        <v>6</v>
      </c>
      <c r="B362" s="87">
        <v>0</v>
      </c>
      <c r="C362" s="81">
        <v>365</v>
      </c>
      <c r="D362" s="81">
        <v>2</v>
      </c>
      <c r="E362" s="70">
        <v>3</v>
      </c>
      <c r="F362" s="81" t="s">
        <v>483</v>
      </c>
      <c r="G362" s="81" t="s">
        <v>480</v>
      </c>
      <c r="H362" s="81">
        <v>1967</v>
      </c>
      <c r="I362" s="81" t="s">
        <v>481</v>
      </c>
      <c r="J362" s="81"/>
    </row>
    <row r="363" spans="1:10" s="85" customFormat="1" x14ac:dyDescent="0.3">
      <c r="A363" s="87">
        <v>6</v>
      </c>
      <c r="B363" s="87">
        <v>4</v>
      </c>
      <c r="C363" s="81">
        <v>365</v>
      </c>
      <c r="D363" s="81">
        <v>1</v>
      </c>
      <c r="E363" s="70">
        <v>3</v>
      </c>
      <c r="F363" s="81" t="s">
        <v>483</v>
      </c>
      <c r="G363" s="81" t="s">
        <v>480</v>
      </c>
      <c r="H363" s="81">
        <v>1967</v>
      </c>
      <c r="I363" s="81" t="s">
        <v>481</v>
      </c>
      <c r="J363" s="81"/>
    </row>
    <row r="364" spans="1:10" s="85" customFormat="1" x14ac:dyDescent="0.3">
      <c r="A364" s="87">
        <v>6</v>
      </c>
      <c r="B364" s="87">
        <v>5</v>
      </c>
      <c r="C364" s="81">
        <v>365</v>
      </c>
      <c r="D364" s="81">
        <v>1</v>
      </c>
      <c r="E364" s="70">
        <v>3</v>
      </c>
      <c r="F364" s="81" t="s">
        <v>483</v>
      </c>
      <c r="G364" s="81" t="s">
        <v>480</v>
      </c>
      <c r="H364" s="81">
        <v>1967</v>
      </c>
      <c r="I364" s="81" t="s">
        <v>481</v>
      </c>
      <c r="J364" s="81"/>
    </row>
    <row r="365" spans="1:10" s="85" customFormat="1" x14ac:dyDescent="0.3">
      <c r="A365" s="87">
        <v>6</v>
      </c>
      <c r="B365" s="87">
        <v>6</v>
      </c>
      <c r="C365" s="81">
        <v>365</v>
      </c>
      <c r="D365" s="81">
        <v>4</v>
      </c>
      <c r="E365" s="70">
        <v>3</v>
      </c>
      <c r="F365" s="81" t="s">
        <v>483</v>
      </c>
      <c r="G365" s="81" t="s">
        <v>480</v>
      </c>
      <c r="H365" s="81">
        <v>1967</v>
      </c>
      <c r="I365" s="81" t="s">
        <v>481</v>
      </c>
      <c r="J365" s="81"/>
    </row>
    <row r="366" spans="1:10" s="85" customFormat="1" x14ac:dyDescent="0.3">
      <c r="A366" s="87">
        <v>6</v>
      </c>
      <c r="B366" s="87">
        <v>8</v>
      </c>
      <c r="C366" s="81">
        <v>365</v>
      </c>
      <c r="D366" s="81">
        <v>1</v>
      </c>
      <c r="E366" s="70">
        <v>3</v>
      </c>
      <c r="F366" s="81" t="s">
        <v>483</v>
      </c>
      <c r="G366" s="81" t="s">
        <v>480</v>
      </c>
      <c r="H366" s="81">
        <v>1967</v>
      </c>
      <c r="I366" s="81" t="s">
        <v>481</v>
      </c>
      <c r="J366" s="81"/>
    </row>
    <row r="367" spans="1:10" s="85" customFormat="1" x14ac:dyDescent="0.3">
      <c r="A367" s="87">
        <v>6</v>
      </c>
      <c r="B367" s="87">
        <v>9</v>
      </c>
      <c r="C367" s="81">
        <v>365</v>
      </c>
      <c r="D367" s="81">
        <v>1</v>
      </c>
      <c r="E367" s="70">
        <v>3</v>
      </c>
      <c r="F367" s="81" t="s">
        <v>483</v>
      </c>
      <c r="G367" s="81" t="s">
        <v>480</v>
      </c>
      <c r="H367" s="81">
        <v>1967</v>
      </c>
      <c r="I367" s="81" t="s">
        <v>481</v>
      </c>
      <c r="J367" s="81"/>
    </row>
    <row r="368" spans="1:10" s="85" customFormat="1" x14ac:dyDescent="0.3">
      <c r="A368" s="87">
        <v>6</v>
      </c>
      <c r="B368" s="87">
        <v>10</v>
      </c>
      <c r="C368" s="81">
        <v>365</v>
      </c>
      <c r="D368" s="81">
        <v>1</v>
      </c>
      <c r="E368" s="70">
        <v>3</v>
      </c>
      <c r="F368" s="81" t="s">
        <v>483</v>
      </c>
      <c r="G368" s="81" t="s">
        <v>480</v>
      </c>
      <c r="H368" s="81">
        <v>1967</v>
      </c>
      <c r="I368" s="81" t="s">
        <v>481</v>
      </c>
      <c r="J368" s="81"/>
    </row>
    <row r="369" spans="1:10" s="85" customFormat="1" x14ac:dyDescent="0.3">
      <c r="A369" s="87">
        <v>7</v>
      </c>
      <c r="B369" s="87">
        <v>7</v>
      </c>
      <c r="C369" s="81">
        <v>365</v>
      </c>
      <c r="D369" s="81">
        <v>2</v>
      </c>
      <c r="E369" s="70">
        <v>3</v>
      </c>
      <c r="F369" s="81" t="s">
        <v>483</v>
      </c>
      <c r="G369" s="81" t="s">
        <v>480</v>
      </c>
      <c r="H369" s="81">
        <v>1967</v>
      </c>
      <c r="I369" s="81" t="s">
        <v>481</v>
      </c>
      <c r="J369" s="81"/>
    </row>
    <row r="370" spans="1:10" s="85" customFormat="1" x14ac:dyDescent="0.3">
      <c r="A370" s="87">
        <v>7</v>
      </c>
      <c r="B370" s="87">
        <v>10</v>
      </c>
      <c r="C370" s="81">
        <v>365</v>
      </c>
      <c r="D370" s="81">
        <v>1</v>
      </c>
      <c r="E370" s="70">
        <v>3</v>
      </c>
      <c r="F370" s="81" t="s">
        <v>483</v>
      </c>
      <c r="G370" s="81" t="s">
        <v>480</v>
      </c>
      <c r="H370" s="81">
        <v>1967</v>
      </c>
      <c r="I370" s="81" t="s">
        <v>481</v>
      </c>
      <c r="J370" s="81"/>
    </row>
    <row r="371" spans="1:10" s="85" customFormat="1" x14ac:dyDescent="0.3">
      <c r="A371" s="87">
        <v>8</v>
      </c>
      <c r="B371" s="87">
        <v>7</v>
      </c>
      <c r="C371" s="81">
        <v>365</v>
      </c>
      <c r="D371" s="81">
        <v>1</v>
      </c>
      <c r="E371" s="70">
        <v>3</v>
      </c>
      <c r="F371" s="81" t="s">
        <v>483</v>
      </c>
      <c r="G371" s="81" t="s">
        <v>480</v>
      </c>
      <c r="H371" s="81">
        <v>1967</v>
      </c>
      <c r="I371" s="81" t="s">
        <v>481</v>
      </c>
      <c r="J371" s="81"/>
    </row>
    <row r="372" spans="1:10" s="85" customFormat="1" x14ac:dyDescent="0.3">
      <c r="A372" s="87">
        <v>8</v>
      </c>
      <c r="B372" s="87">
        <v>10</v>
      </c>
      <c r="C372" s="81">
        <v>365</v>
      </c>
      <c r="D372" s="81">
        <v>1</v>
      </c>
      <c r="E372" s="70">
        <v>3</v>
      </c>
      <c r="F372" s="81" t="s">
        <v>483</v>
      </c>
      <c r="G372" s="81" t="s">
        <v>480</v>
      </c>
      <c r="H372" s="81">
        <v>1967</v>
      </c>
      <c r="I372" s="81" t="s">
        <v>481</v>
      </c>
      <c r="J372" s="81"/>
    </row>
    <row r="373" spans="1:10" s="85" customFormat="1" x14ac:dyDescent="0.3">
      <c r="A373" s="87">
        <v>9</v>
      </c>
      <c r="B373" s="87">
        <v>9</v>
      </c>
      <c r="C373" s="81">
        <v>365</v>
      </c>
      <c r="D373" s="81">
        <v>1</v>
      </c>
      <c r="E373" s="70">
        <v>3</v>
      </c>
      <c r="F373" s="81" t="s">
        <v>483</v>
      </c>
      <c r="G373" s="81" t="s">
        <v>480</v>
      </c>
      <c r="H373" s="81">
        <v>1967</v>
      </c>
      <c r="I373" s="81" t="s">
        <v>481</v>
      </c>
      <c r="J373" s="81"/>
    </row>
    <row r="374" spans="1:10" s="85" customFormat="1" x14ac:dyDescent="0.3">
      <c r="A374" s="87">
        <v>9</v>
      </c>
      <c r="B374" s="87">
        <v>10</v>
      </c>
      <c r="C374" s="81">
        <v>365</v>
      </c>
      <c r="D374" s="81">
        <v>1</v>
      </c>
      <c r="E374" s="70">
        <v>3</v>
      </c>
      <c r="F374" s="81" t="s">
        <v>483</v>
      </c>
      <c r="G374" s="81" t="s">
        <v>480</v>
      </c>
      <c r="H374" s="81">
        <v>1967</v>
      </c>
      <c r="I374" s="81" t="s">
        <v>481</v>
      </c>
      <c r="J374" s="81"/>
    </row>
    <row r="375" spans="1:10" s="85" customFormat="1" x14ac:dyDescent="0.3">
      <c r="A375" s="87">
        <v>10</v>
      </c>
      <c r="B375" s="87">
        <v>6</v>
      </c>
      <c r="C375" s="81">
        <v>365</v>
      </c>
      <c r="D375" s="81">
        <v>1</v>
      </c>
      <c r="E375" s="70">
        <v>3</v>
      </c>
      <c r="F375" s="81" t="s">
        <v>483</v>
      </c>
      <c r="G375" s="81" t="s">
        <v>480</v>
      </c>
      <c r="H375" s="81">
        <v>1967</v>
      </c>
      <c r="I375" s="81" t="s">
        <v>481</v>
      </c>
      <c r="J375" s="81"/>
    </row>
    <row r="376" spans="1:10" s="85" customFormat="1" x14ac:dyDescent="0.3">
      <c r="A376" s="87">
        <v>10</v>
      </c>
      <c r="B376" s="87">
        <v>10</v>
      </c>
      <c r="C376" s="81">
        <v>365</v>
      </c>
      <c r="D376" s="81">
        <v>1</v>
      </c>
      <c r="E376" s="70">
        <v>3</v>
      </c>
      <c r="F376" s="81" t="s">
        <v>483</v>
      </c>
      <c r="G376" s="81" t="s">
        <v>480</v>
      </c>
      <c r="H376" s="81">
        <v>1967</v>
      </c>
      <c r="I376" s="81" t="s">
        <v>481</v>
      </c>
      <c r="J376" s="81"/>
    </row>
    <row r="377" spans="1:10" s="85" customFormat="1" x14ac:dyDescent="0.3">
      <c r="A377" s="87">
        <v>1.8588713370000001</v>
      </c>
      <c r="B377" s="87">
        <v>1.42817651099</v>
      </c>
      <c r="C377" s="81">
        <v>0</v>
      </c>
      <c r="D377" s="81">
        <v>1</v>
      </c>
      <c r="E377" s="70">
        <v>1</v>
      </c>
      <c r="F377" s="81" t="s">
        <v>451</v>
      </c>
      <c r="G377" s="81" t="s">
        <v>411</v>
      </c>
      <c r="H377" s="81">
        <v>1960</v>
      </c>
      <c r="I377" s="81" t="s">
        <v>412</v>
      </c>
      <c r="J377" s="81"/>
    </row>
    <row r="378" spans="1:10" s="85" customFormat="1" x14ac:dyDescent="0.3">
      <c r="A378" s="87">
        <v>1.8588713370000001</v>
      </c>
      <c r="B378" s="87">
        <v>1.42817651099</v>
      </c>
      <c r="C378" s="81">
        <v>0</v>
      </c>
      <c r="D378" s="81">
        <v>1</v>
      </c>
      <c r="E378" s="70">
        <v>1</v>
      </c>
      <c r="F378" s="81" t="s">
        <v>451</v>
      </c>
      <c r="G378" s="81" t="s">
        <v>411</v>
      </c>
      <c r="H378" s="81">
        <v>1960</v>
      </c>
      <c r="I378" s="81" t="s">
        <v>412</v>
      </c>
      <c r="J378" s="81"/>
    </row>
    <row r="379" spans="1:10" s="85" customFormat="1" x14ac:dyDescent="0.3">
      <c r="A379" s="87">
        <v>3.88561126374</v>
      </c>
      <c r="B379" s="87">
        <v>6.1605940934100003</v>
      </c>
      <c r="C379" s="81">
        <v>0</v>
      </c>
      <c r="D379" s="81">
        <v>1</v>
      </c>
      <c r="E379" s="70">
        <v>1</v>
      </c>
      <c r="F379" s="81" t="s">
        <v>451</v>
      </c>
      <c r="G379" s="81" t="s">
        <v>411</v>
      </c>
      <c r="H379" s="81">
        <v>1960</v>
      </c>
      <c r="I379" s="81" t="s">
        <v>412</v>
      </c>
      <c r="J379" s="81"/>
    </row>
    <row r="380" spans="1:10" s="85" customFormat="1" x14ac:dyDescent="0.3">
      <c r="A380" s="87">
        <v>3.9687156593399999</v>
      </c>
      <c r="B380" s="87">
        <v>3.05928914835</v>
      </c>
      <c r="C380" s="81">
        <v>0</v>
      </c>
      <c r="D380" s="81">
        <v>1</v>
      </c>
      <c r="E380" s="70">
        <v>1</v>
      </c>
      <c r="F380" s="81" t="s">
        <v>451</v>
      </c>
      <c r="G380" s="81" t="s">
        <v>411</v>
      </c>
      <c r="H380" s="81">
        <v>1960</v>
      </c>
      <c r="I380" s="81" t="s">
        <v>412</v>
      </c>
      <c r="J380" s="81"/>
    </row>
    <row r="381" spans="1:10" s="85" customFormat="1" x14ac:dyDescent="0.3">
      <c r="A381" s="87">
        <v>3.9751373626399999</v>
      </c>
      <c r="B381" s="87">
        <v>5.14464285714</v>
      </c>
      <c r="C381" s="81">
        <v>0</v>
      </c>
      <c r="D381" s="81">
        <v>1</v>
      </c>
      <c r="E381" s="70">
        <v>1</v>
      </c>
      <c r="F381" s="81" t="s">
        <v>451</v>
      </c>
      <c r="G381" s="81" t="s">
        <v>411</v>
      </c>
      <c r="H381" s="81">
        <v>1960</v>
      </c>
      <c r="I381" s="81" t="s">
        <v>412</v>
      </c>
      <c r="J381" s="81"/>
    </row>
    <row r="382" spans="1:10" s="85" customFormat="1" x14ac:dyDescent="0.3">
      <c r="A382" s="87">
        <v>4.0120306776600003</v>
      </c>
      <c r="B382" s="87">
        <v>4.0761847527499997</v>
      </c>
      <c r="C382" s="81">
        <v>0</v>
      </c>
      <c r="D382" s="81">
        <v>1</v>
      </c>
      <c r="E382" s="70">
        <v>1</v>
      </c>
      <c r="F382" s="81" t="s">
        <v>451</v>
      </c>
      <c r="G382" s="81" t="s">
        <v>411</v>
      </c>
      <c r="H382" s="81">
        <v>1960</v>
      </c>
      <c r="I382" s="81" t="s">
        <v>412</v>
      </c>
      <c r="J382" s="81"/>
    </row>
    <row r="383" spans="1:10" s="85" customFormat="1" x14ac:dyDescent="0.3">
      <c r="A383" s="87">
        <v>4.0120306776600003</v>
      </c>
      <c r="B383" s="87">
        <v>4.0761847527499997</v>
      </c>
      <c r="C383" s="81">
        <v>0</v>
      </c>
      <c r="D383" s="81">
        <v>1</v>
      </c>
      <c r="E383" s="70">
        <v>1</v>
      </c>
      <c r="F383" s="81" t="s">
        <v>451</v>
      </c>
      <c r="G383" s="81" t="s">
        <v>411</v>
      </c>
      <c r="H383" s="81">
        <v>1960</v>
      </c>
      <c r="I383" s="81" t="s">
        <v>412</v>
      </c>
      <c r="J383" s="81"/>
    </row>
    <row r="384" spans="1:10" s="85" customFormat="1" x14ac:dyDescent="0.3">
      <c r="A384" s="87">
        <v>4.9313415750900003</v>
      </c>
      <c r="B384" s="87">
        <v>5.1775068681300001</v>
      </c>
      <c r="C384" s="81">
        <v>0</v>
      </c>
      <c r="D384" s="81">
        <v>1</v>
      </c>
      <c r="E384" s="70">
        <v>1</v>
      </c>
      <c r="F384" s="81" t="s">
        <v>451</v>
      </c>
      <c r="G384" s="81" t="s">
        <v>411</v>
      </c>
      <c r="H384" s="81">
        <v>1960</v>
      </c>
      <c r="I384" s="81" t="s">
        <v>412</v>
      </c>
      <c r="J384" s="81"/>
    </row>
    <row r="385" spans="1:10" s="85" customFormat="1" x14ac:dyDescent="0.3">
      <c r="A385" s="87">
        <v>4.9650869963400002</v>
      </c>
      <c r="B385" s="87">
        <v>7.1848557692300004</v>
      </c>
      <c r="C385" s="81">
        <v>0</v>
      </c>
      <c r="D385" s="81">
        <v>1</v>
      </c>
      <c r="E385" s="70">
        <v>1</v>
      </c>
      <c r="F385" s="81" t="s">
        <v>451</v>
      </c>
      <c r="G385" s="81" t="s">
        <v>411</v>
      </c>
      <c r="H385" s="81">
        <v>1960</v>
      </c>
      <c r="I385" s="81" t="s">
        <v>412</v>
      </c>
      <c r="J385" s="81"/>
    </row>
    <row r="386" spans="1:10" s="85" customFormat="1" x14ac:dyDescent="0.3">
      <c r="A386" s="87">
        <v>5.0319482600700001</v>
      </c>
      <c r="B386" s="87">
        <v>3.0147149725300002</v>
      </c>
      <c r="C386" s="81">
        <v>0</v>
      </c>
      <c r="D386" s="81">
        <v>1</v>
      </c>
      <c r="E386" s="70">
        <v>1</v>
      </c>
      <c r="F386" s="81" t="s">
        <v>451</v>
      </c>
      <c r="G386" s="81" t="s">
        <v>411</v>
      </c>
      <c r="H386" s="81">
        <v>1960</v>
      </c>
      <c r="I386" s="81" t="s">
        <v>412</v>
      </c>
      <c r="J386" s="81"/>
    </row>
    <row r="387" spans="1:10" s="85" customFormat="1" x14ac:dyDescent="0.3">
      <c r="A387" s="87">
        <v>5.0481913919399997</v>
      </c>
      <c r="B387" s="87">
        <v>4.0835508241799996</v>
      </c>
      <c r="C387" s="81">
        <v>0</v>
      </c>
      <c r="D387" s="81">
        <v>1</v>
      </c>
      <c r="E387" s="70">
        <v>1</v>
      </c>
      <c r="F387" s="81" t="s">
        <v>451</v>
      </c>
      <c r="G387" s="81" t="s">
        <v>411</v>
      </c>
      <c r="H387" s="81">
        <v>1960</v>
      </c>
      <c r="I387" s="81" t="s">
        <v>412</v>
      </c>
      <c r="J387" s="81"/>
    </row>
    <row r="388" spans="1:10" s="85" customFormat="1" x14ac:dyDescent="0.3">
      <c r="A388" s="87">
        <v>5.0484432234399996</v>
      </c>
      <c r="B388" s="87">
        <v>4.0574862637400004</v>
      </c>
      <c r="C388" s="81">
        <v>0</v>
      </c>
      <c r="D388" s="81">
        <v>1</v>
      </c>
      <c r="E388" s="70">
        <v>1</v>
      </c>
      <c r="F388" s="81" t="s">
        <v>451</v>
      </c>
      <c r="G388" s="81" t="s">
        <v>411</v>
      </c>
      <c r="H388" s="81">
        <v>1960</v>
      </c>
      <c r="I388" s="81" t="s">
        <v>412</v>
      </c>
      <c r="J388" s="81"/>
    </row>
    <row r="389" spans="1:10" s="85" customFormat="1" x14ac:dyDescent="0.3">
      <c r="A389" s="87">
        <v>5.0546130952399997</v>
      </c>
      <c r="B389" s="87">
        <v>6.1689045329700001</v>
      </c>
      <c r="C389" s="81">
        <v>0</v>
      </c>
      <c r="D389" s="81">
        <v>1</v>
      </c>
      <c r="E389" s="70">
        <v>1</v>
      </c>
      <c r="F389" s="81" t="s">
        <v>451</v>
      </c>
      <c r="G389" s="81" t="s">
        <v>411</v>
      </c>
      <c r="H389" s="81">
        <v>1960</v>
      </c>
      <c r="I389" s="81" t="s">
        <v>412</v>
      </c>
      <c r="J389" s="81"/>
    </row>
    <row r="390" spans="1:10" s="85" customFormat="1" x14ac:dyDescent="0.3">
      <c r="A390" s="87">
        <v>5.0546130952399997</v>
      </c>
      <c r="B390" s="87">
        <v>6.1689045329700001</v>
      </c>
      <c r="C390" s="81">
        <v>0</v>
      </c>
      <c r="D390" s="81">
        <v>1</v>
      </c>
      <c r="E390" s="70">
        <v>1</v>
      </c>
      <c r="F390" s="81" t="s">
        <v>451</v>
      </c>
      <c r="G390" s="81" t="s">
        <v>411</v>
      </c>
      <c r="H390" s="81">
        <v>1960</v>
      </c>
      <c r="I390" s="81" t="s">
        <v>412</v>
      </c>
      <c r="J390" s="81"/>
    </row>
    <row r="391" spans="1:10" s="85" customFormat="1" x14ac:dyDescent="0.3">
      <c r="A391" s="87">
        <v>5.0546130952399997</v>
      </c>
      <c r="B391" s="87">
        <v>6.1689045329700001</v>
      </c>
      <c r="C391" s="81">
        <v>0</v>
      </c>
      <c r="D391" s="81">
        <v>1</v>
      </c>
      <c r="E391" s="70">
        <v>1</v>
      </c>
      <c r="F391" s="81" t="s">
        <v>451</v>
      </c>
      <c r="G391" s="81" t="s">
        <v>411</v>
      </c>
      <c r="H391" s="81">
        <v>1960</v>
      </c>
      <c r="I391" s="81" t="s">
        <v>412</v>
      </c>
      <c r="J391" s="81"/>
    </row>
    <row r="392" spans="1:10" s="85" customFormat="1" x14ac:dyDescent="0.3">
      <c r="A392" s="87">
        <v>6.0278159340700004</v>
      </c>
      <c r="B392" s="87">
        <v>7.1924107142900002</v>
      </c>
      <c r="C392" s="81">
        <v>0</v>
      </c>
      <c r="D392" s="81">
        <v>1</v>
      </c>
      <c r="E392" s="70">
        <v>1</v>
      </c>
      <c r="F392" s="81" t="s">
        <v>451</v>
      </c>
      <c r="G392" s="81" t="s">
        <v>411</v>
      </c>
      <c r="H392" s="81">
        <v>1960</v>
      </c>
      <c r="I392" s="81" t="s">
        <v>412</v>
      </c>
      <c r="J392" s="81"/>
    </row>
    <row r="393" spans="1:10" s="85" customFormat="1" x14ac:dyDescent="0.3">
      <c r="A393" s="87">
        <v>6.0278159340700004</v>
      </c>
      <c r="B393" s="87">
        <v>7.1924107142900002</v>
      </c>
      <c r="C393" s="81">
        <v>0</v>
      </c>
      <c r="D393" s="81">
        <v>1</v>
      </c>
      <c r="E393" s="70">
        <v>1</v>
      </c>
      <c r="F393" s="81" t="s">
        <v>451</v>
      </c>
      <c r="G393" s="81" t="s">
        <v>411</v>
      </c>
      <c r="H393" s="81">
        <v>1960</v>
      </c>
      <c r="I393" s="81" t="s">
        <v>412</v>
      </c>
      <c r="J393" s="81"/>
    </row>
    <row r="394" spans="1:10" s="85" customFormat="1" x14ac:dyDescent="0.3">
      <c r="A394" s="87">
        <v>6.03738553114</v>
      </c>
      <c r="B394" s="87">
        <v>6.2019574175800001</v>
      </c>
      <c r="C394" s="81">
        <v>0</v>
      </c>
      <c r="D394" s="81">
        <v>1</v>
      </c>
      <c r="E394" s="70">
        <v>1</v>
      </c>
      <c r="F394" s="81" t="s">
        <v>451</v>
      </c>
      <c r="G394" s="81" t="s">
        <v>411</v>
      </c>
      <c r="H394" s="81">
        <v>1960</v>
      </c>
      <c r="I394" s="81" t="s">
        <v>412</v>
      </c>
      <c r="J394" s="81"/>
    </row>
    <row r="395" spans="1:10" s="85" customFormat="1" x14ac:dyDescent="0.3">
      <c r="A395" s="87">
        <v>6.03738553114</v>
      </c>
      <c r="B395" s="87">
        <v>6.2019574175800001</v>
      </c>
      <c r="C395" s="81">
        <v>0</v>
      </c>
      <c r="D395" s="81">
        <v>1</v>
      </c>
      <c r="E395" s="70">
        <v>1</v>
      </c>
      <c r="F395" s="81" t="s">
        <v>451</v>
      </c>
      <c r="G395" s="81" t="s">
        <v>411</v>
      </c>
      <c r="H395" s="81">
        <v>1960</v>
      </c>
      <c r="I395" s="81" t="s">
        <v>412</v>
      </c>
      <c r="J395" s="81"/>
    </row>
    <row r="396" spans="1:10" s="85" customFormat="1" x14ac:dyDescent="0.3">
      <c r="A396" s="87">
        <v>6.03738553114</v>
      </c>
      <c r="B396" s="87">
        <v>6.2019574175800001</v>
      </c>
      <c r="C396" s="81">
        <v>0</v>
      </c>
      <c r="D396" s="81">
        <v>1</v>
      </c>
      <c r="E396" s="70">
        <v>1</v>
      </c>
      <c r="F396" s="81" t="s">
        <v>451</v>
      </c>
      <c r="G396" s="81" t="s">
        <v>411</v>
      </c>
      <c r="H396" s="81">
        <v>1960</v>
      </c>
      <c r="I396" s="81" t="s">
        <v>412</v>
      </c>
      <c r="J396" s="81"/>
    </row>
    <row r="397" spans="1:10" s="85" customFormat="1" x14ac:dyDescent="0.3">
      <c r="A397" s="87">
        <v>6.0469551282099996</v>
      </c>
      <c r="B397" s="87">
        <v>5.2115041208799999</v>
      </c>
      <c r="C397" s="81">
        <v>0</v>
      </c>
      <c r="D397" s="81">
        <v>1</v>
      </c>
      <c r="E397" s="70">
        <v>1</v>
      </c>
      <c r="F397" s="81" t="s">
        <v>451</v>
      </c>
      <c r="G397" s="81" t="s">
        <v>411</v>
      </c>
      <c r="H397" s="81">
        <v>1960</v>
      </c>
      <c r="I397" s="81" t="s">
        <v>412</v>
      </c>
      <c r="J397" s="81"/>
    </row>
    <row r="398" spans="1:10" s="85" customFormat="1" x14ac:dyDescent="0.3">
      <c r="A398" s="87">
        <v>6.0469551282099996</v>
      </c>
      <c r="B398" s="87">
        <v>5.2115041208799999</v>
      </c>
      <c r="C398" s="81">
        <v>0</v>
      </c>
      <c r="D398" s="81">
        <v>1</v>
      </c>
      <c r="E398" s="70">
        <v>1</v>
      </c>
      <c r="F398" s="81" t="s">
        <v>451</v>
      </c>
      <c r="G398" s="81" t="s">
        <v>411</v>
      </c>
      <c r="H398" s="81">
        <v>1960</v>
      </c>
      <c r="I398" s="81" t="s">
        <v>412</v>
      </c>
      <c r="J398" s="81"/>
    </row>
    <row r="399" spans="1:10" s="85" customFormat="1" x14ac:dyDescent="0.3">
      <c r="A399" s="87">
        <v>6.0708791208799999</v>
      </c>
      <c r="B399" s="87">
        <v>8.2353708791199995</v>
      </c>
      <c r="C399" s="81">
        <v>0</v>
      </c>
      <c r="D399" s="81">
        <v>1</v>
      </c>
      <c r="E399" s="70">
        <v>1</v>
      </c>
      <c r="F399" s="81" t="s">
        <v>451</v>
      </c>
      <c r="G399" s="81" t="s">
        <v>411</v>
      </c>
      <c r="H399" s="81">
        <v>1960</v>
      </c>
      <c r="I399" s="81" t="s">
        <v>412</v>
      </c>
      <c r="J399" s="81"/>
    </row>
    <row r="400" spans="1:10" s="85" customFormat="1" x14ac:dyDescent="0.3">
      <c r="A400" s="87">
        <v>7.1003663003700002</v>
      </c>
      <c r="B400" s="87">
        <v>6.1834478021999999</v>
      </c>
      <c r="C400" s="81">
        <v>0</v>
      </c>
      <c r="D400" s="81">
        <v>1</v>
      </c>
      <c r="E400" s="70">
        <v>1</v>
      </c>
      <c r="F400" s="81" t="s">
        <v>451</v>
      </c>
      <c r="G400" s="81" t="s">
        <v>411</v>
      </c>
      <c r="H400" s="81">
        <v>1960</v>
      </c>
      <c r="I400" s="81" t="s">
        <v>412</v>
      </c>
      <c r="J400" s="81"/>
    </row>
    <row r="401" spans="1:10" s="85" customFormat="1" x14ac:dyDescent="0.3">
      <c r="A401" s="87">
        <v>7.1075434981700001</v>
      </c>
      <c r="B401" s="87">
        <v>8.1906078296700002</v>
      </c>
      <c r="C401" s="81">
        <v>0</v>
      </c>
      <c r="D401" s="81">
        <v>1</v>
      </c>
      <c r="E401" s="70">
        <v>1</v>
      </c>
      <c r="F401" s="81" t="s">
        <v>451</v>
      </c>
      <c r="G401" s="81" t="s">
        <v>411</v>
      </c>
      <c r="H401" s="81">
        <v>1960</v>
      </c>
      <c r="I401" s="81" t="s">
        <v>412</v>
      </c>
      <c r="J401" s="81"/>
    </row>
    <row r="402" spans="1:10" s="85" customFormat="1" x14ac:dyDescent="0.3">
      <c r="A402" s="87">
        <v>7.1075434981700001</v>
      </c>
      <c r="B402" s="87">
        <v>8.1906078296700002</v>
      </c>
      <c r="C402" s="81">
        <v>0</v>
      </c>
      <c r="D402" s="81">
        <v>1</v>
      </c>
      <c r="E402" s="70">
        <v>1</v>
      </c>
      <c r="F402" s="81" t="s">
        <v>451</v>
      </c>
      <c r="G402" s="81" t="s">
        <v>411</v>
      </c>
      <c r="H402" s="81">
        <v>1960</v>
      </c>
      <c r="I402" s="81" t="s">
        <v>412</v>
      </c>
      <c r="J402" s="81"/>
    </row>
    <row r="403" spans="1:10" s="85" customFormat="1" x14ac:dyDescent="0.3">
      <c r="A403" s="87">
        <v>7.1075434981700001</v>
      </c>
      <c r="B403" s="87">
        <v>8.1906078296700002</v>
      </c>
      <c r="C403" s="81">
        <v>0</v>
      </c>
      <c r="D403" s="81">
        <v>1</v>
      </c>
      <c r="E403" s="70">
        <v>1</v>
      </c>
      <c r="F403" s="81" t="s">
        <v>451</v>
      </c>
      <c r="G403" s="81" t="s">
        <v>411</v>
      </c>
      <c r="H403" s="81">
        <v>1960</v>
      </c>
      <c r="I403" s="81" t="s">
        <v>412</v>
      </c>
      <c r="J403" s="81"/>
    </row>
    <row r="404" spans="1:10" s="85" customFormat="1" x14ac:dyDescent="0.3">
      <c r="A404" s="87">
        <v>7.1075434981700001</v>
      </c>
      <c r="B404" s="87">
        <v>8.1906078296700002</v>
      </c>
      <c r="C404" s="81">
        <v>0</v>
      </c>
      <c r="D404" s="81">
        <v>1</v>
      </c>
      <c r="E404" s="70">
        <v>1</v>
      </c>
      <c r="F404" s="81" t="s">
        <v>451</v>
      </c>
      <c r="G404" s="81" t="s">
        <v>411</v>
      </c>
      <c r="H404" s="81">
        <v>1960</v>
      </c>
      <c r="I404" s="81" t="s">
        <v>412</v>
      </c>
      <c r="J404" s="81"/>
    </row>
    <row r="405" spans="1:10" s="85" customFormat="1" x14ac:dyDescent="0.3">
      <c r="A405" s="87">
        <v>7.1171130952399997</v>
      </c>
      <c r="B405" s="87">
        <v>7.2001545329700001</v>
      </c>
      <c r="C405" s="81">
        <v>0</v>
      </c>
      <c r="D405" s="81">
        <v>1</v>
      </c>
      <c r="E405" s="70">
        <v>1</v>
      </c>
      <c r="F405" s="81" t="s">
        <v>451</v>
      </c>
      <c r="G405" s="81" t="s">
        <v>411</v>
      </c>
      <c r="H405" s="81">
        <v>1960</v>
      </c>
      <c r="I405" s="81" t="s">
        <v>412</v>
      </c>
      <c r="J405" s="81"/>
    </row>
    <row r="406" spans="1:10" s="85" customFormat="1" x14ac:dyDescent="0.3">
      <c r="A406" s="87">
        <v>7.1171130952399997</v>
      </c>
      <c r="B406" s="87">
        <v>7.2001545329700001</v>
      </c>
      <c r="C406" s="81">
        <v>0</v>
      </c>
      <c r="D406" s="81">
        <v>1</v>
      </c>
      <c r="E406" s="70">
        <v>1</v>
      </c>
      <c r="F406" s="81" t="s">
        <v>451</v>
      </c>
      <c r="G406" s="81" t="s">
        <v>411</v>
      </c>
      <c r="H406" s="81">
        <v>1960</v>
      </c>
      <c r="I406" s="81" t="s">
        <v>412</v>
      </c>
      <c r="J406" s="81"/>
    </row>
    <row r="407" spans="1:10" s="85" customFormat="1" x14ac:dyDescent="0.3">
      <c r="A407" s="87">
        <v>7.1171130952399997</v>
      </c>
      <c r="B407" s="87">
        <v>7.2001545329700001</v>
      </c>
      <c r="C407" s="81">
        <v>0</v>
      </c>
      <c r="D407" s="81">
        <v>1</v>
      </c>
      <c r="E407" s="70">
        <v>1</v>
      </c>
      <c r="F407" s="81" t="s">
        <v>451</v>
      </c>
      <c r="G407" s="81" t="s">
        <v>411</v>
      </c>
      <c r="H407" s="81">
        <v>1960</v>
      </c>
      <c r="I407" s="81" t="s">
        <v>412</v>
      </c>
      <c r="J407" s="81"/>
    </row>
    <row r="408" spans="1:10" s="85" customFormat="1" x14ac:dyDescent="0.3">
      <c r="A408" s="87">
        <v>8.1070627289400008</v>
      </c>
      <c r="B408" s="87">
        <v>9.2403674450499995</v>
      </c>
      <c r="C408" s="81">
        <v>0</v>
      </c>
      <c r="D408" s="81">
        <v>1</v>
      </c>
      <c r="E408" s="70">
        <v>1</v>
      </c>
      <c r="F408" s="81" t="s">
        <v>451</v>
      </c>
      <c r="G408" s="81" t="s">
        <v>411</v>
      </c>
      <c r="H408" s="81">
        <v>1960</v>
      </c>
      <c r="I408" s="81" t="s">
        <v>412</v>
      </c>
      <c r="J408" s="81"/>
    </row>
    <row r="409" spans="1:10" s="85" customFormat="1" x14ac:dyDescent="0.3">
      <c r="A409" s="87">
        <v>8.1097069597099996</v>
      </c>
      <c r="B409" s="87">
        <v>6.2166895604399999</v>
      </c>
      <c r="C409" s="81">
        <v>0</v>
      </c>
      <c r="D409" s="81">
        <v>1</v>
      </c>
      <c r="E409" s="70">
        <v>1</v>
      </c>
      <c r="F409" s="81" t="s">
        <v>451</v>
      </c>
      <c r="G409" s="81" t="s">
        <v>411</v>
      </c>
      <c r="H409" s="81">
        <v>1960</v>
      </c>
      <c r="I409" s="81" t="s">
        <v>412</v>
      </c>
      <c r="J409" s="81"/>
    </row>
    <row r="410" spans="1:10" s="85" customFormat="1" x14ac:dyDescent="0.3">
      <c r="A410" s="87">
        <v>8.1097069597099996</v>
      </c>
      <c r="B410" s="87">
        <v>6.2166895604399999</v>
      </c>
      <c r="C410" s="81">
        <v>0</v>
      </c>
      <c r="D410" s="81">
        <v>1</v>
      </c>
      <c r="E410" s="70">
        <v>1</v>
      </c>
      <c r="F410" s="81" t="s">
        <v>451</v>
      </c>
      <c r="G410" s="81" t="s">
        <v>411</v>
      </c>
      <c r="H410" s="81">
        <v>1960</v>
      </c>
      <c r="I410" s="81" t="s">
        <v>412</v>
      </c>
      <c r="J410" s="81"/>
    </row>
    <row r="411" spans="1:10" s="85" customFormat="1" x14ac:dyDescent="0.3">
      <c r="A411" s="87">
        <v>8.1097069597099996</v>
      </c>
      <c r="B411" s="87">
        <v>6.2166895604399999</v>
      </c>
      <c r="C411" s="81">
        <v>0</v>
      </c>
      <c r="D411" s="81">
        <v>1</v>
      </c>
      <c r="E411" s="70">
        <v>1</v>
      </c>
      <c r="F411" s="81" t="s">
        <v>451</v>
      </c>
      <c r="G411" s="81" t="s">
        <v>411</v>
      </c>
      <c r="H411" s="81">
        <v>1960</v>
      </c>
      <c r="I411" s="81" t="s">
        <v>412</v>
      </c>
      <c r="J411" s="81"/>
    </row>
    <row r="412" spans="1:10" s="85" customFormat="1" x14ac:dyDescent="0.3">
      <c r="A412" s="87">
        <v>8.1238095238099994</v>
      </c>
      <c r="B412" s="87">
        <v>10.2570741758</v>
      </c>
      <c r="C412" s="81">
        <v>0</v>
      </c>
      <c r="D412" s="81">
        <v>1</v>
      </c>
      <c r="E412" s="70">
        <v>1</v>
      </c>
      <c r="F412" s="81" t="s">
        <v>451</v>
      </c>
      <c r="G412" s="81" t="s">
        <v>411</v>
      </c>
      <c r="H412" s="81">
        <v>1960</v>
      </c>
      <c r="I412" s="81" t="s">
        <v>412</v>
      </c>
      <c r="J412" s="81"/>
    </row>
    <row r="413" spans="1:10" s="85" customFormat="1" x14ac:dyDescent="0.3">
      <c r="A413" s="87">
        <v>8.1238095238099994</v>
      </c>
      <c r="B413" s="87">
        <v>10.2570741758</v>
      </c>
      <c r="C413" s="81">
        <v>0</v>
      </c>
      <c r="D413" s="81">
        <v>1</v>
      </c>
      <c r="E413" s="70">
        <v>1</v>
      </c>
      <c r="F413" s="81" t="s">
        <v>451</v>
      </c>
      <c r="G413" s="81" t="s">
        <v>411</v>
      </c>
      <c r="H413" s="81">
        <v>1960</v>
      </c>
      <c r="I413" s="81" t="s">
        <v>412</v>
      </c>
      <c r="J413" s="81"/>
    </row>
    <row r="414" spans="1:10" s="85" customFormat="1" x14ac:dyDescent="0.3">
      <c r="A414" s="87">
        <v>8.1700206043999994</v>
      </c>
      <c r="B414" s="87">
        <v>8.2242273351600002</v>
      </c>
      <c r="C414" s="81">
        <v>0</v>
      </c>
      <c r="D414" s="81">
        <v>1</v>
      </c>
      <c r="E414" s="70">
        <v>1</v>
      </c>
      <c r="F414" s="81" t="s">
        <v>451</v>
      </c>
      <c r="G414" s="81" t="s">
        <v>411</v>
      </c>
      <c r="H414" s="81">
        <v>1960</v>
      </c>
      <c r="I414" s="81" t="s">
        <v>412</v>
      </c>
      <c r="J414" s="81"/>
    </row>
    <row r="415" spans="1:10" s="85" customFormat="1" x14ac:dyDescent="0.3">
      <c r="A415" s="87">
        <v>8.1700206043999994</v>
      </c>
      <c r="B415" s="87">
        <v>8.2242273351600002</v>
      </c>
      <c r="C415" s="81">
        <v>0</v>
      </c>
      <c r="D415" s="81">
        <v>1</v>
      </c>
      <c r="E415" s="70">
        <v>1</v>
      </c>
      <c r="F415" s="81" t="s">
        <v>451</v>
      </c>
      <c r="G415" s="81" t="s">
        <v>411</v>
      </c>
      <c r="H415" s="81">
        <v>1960</v>
      </c>
      <c r="I415" s="81" t="s">
        <v>412</v>
      </c>
      <c r="J415" s="81"/>
    </row>
    <row r="416" spans="1:10" s="85" customFormat="1" x14ac:dyDescent="0.3">
      <c r="A416" s="87">
        <v>8.1700206043999994</v>
      </c>
      <c r="B416" s="87">
        <v>8.2242273351600002</v>
      </c>
      <c r="C416" s="81">
        <v>0</v>
      </c>
      <c r="D416" s="81">
        <v>1</v>
      </c>
      <c r="E416" s="70">
        <v>1</v>
      </c>
      <c r="F416" s="81" t="s">
        <v>451</v>
      </c>
      <c r="G416" s="81" t="s">
        <v>411</v>
      </c>
      <c r="H416" s="81">
        <v>1960</v>
      </c>
      <c r="I416" s="81" t="s">
        <v>412</v>
      </c>
      <c r="J416" s="81"/>
    </row>
    <row r="417" spans="1:10" s="85" customFormat="1" x14ac:dyDescent="0.3">
      <c r="A417" s="87">
        <v>8.1700206043999994</v>
      </c>
      <c r="B417" s="87">
        <v>8.2242273351600002</v>
      </c>
      <c r="C417" s="81">
        <v>0</v>
      </c>
      <c r="D417" s="81">
        <v>1</v>
      </c>
      <c r="E417" s="70">
        <v>1</v>
      </c>
      <c r="F417" s="81" t="s">
        <v>451</v>
      </c>
      <c r="G417" s="81" t="s">
        <v>411</v>
      </c>
      <c r="H417" s="81">
        <v>1960</v>
      </c>
      <c r="I417" s="81" t="s">
        <v>412</v>
      </c>
      <c r="J417" s="81"/>
    </row>
    <row r="418" spans="1:10" s="85" customFormat="1" x14ac:dyDescent="0.3">
      <c r="A418" s="87">
        <v>8.1700206043999994</v>
      </c>
      <c r="B418" s="87">
        <v>8.2242273351600002</v>
      </c>
      <c r="C418" s="81">
        <v>0</v>
      </c>
      <c r="D418" s="81">
        <v>1</v>
      </c>
      <c r="E418" s="70">
        <v>1</v>
      </c>
      <c r="F418" s="81" t="s">
        <v>451</v>
      </c>
      <c r="G418" s="81" t="s">
        <v>411</v>
      </c>
      <c r="H418" s="81">
        <v>1960</v>
      </c>
      <c r="I418" s="81" t="s">
        <v>412</v>
      </c>
      <c r="J418" s="81"/>
    </row>
    <row r="419" spans="1:10" s="85" customFormat="1" x14ac:dyDescent="0.3">
      <c r="A419" s="87">
        <v>8.1700206043999994</v>
      </c>
      <c r="B419" s="87">
        <v>8.2242273351600002</v>
      </c>
      <c r="C419" s="81">
        <v>0</v>
      </c>
      <c r="D419" s="81">
        <v>1</v>
      </c>
      <c r="E419" s="70">
        <v>1</v>
      </c>
      <c r="F419" s="81" t="s">
        <v>451</v>
      </c>
      <c r="G419" s="81" t="s">
        <v>411</v>
      </c>
      <c r="H419" s="81">
        <v>1960</v>
      </c>
      <c r="I419" s="81" t="s">
        <v>412</v>
      </c>
      <c r="J419" s="81"/>
    </row>
    <row r="420" spans="1:10" s="85" customFormat="1" x14ac:dyDescent="0.3">
      <c r="A420" s="87">
        <v>8.1700206043999994</v>
      </c>
      <c r="B420" s="87">
        <v>8.2242273351600002</v>
      </c>
      <c r="C420" s="81">
        <v>0</v>
      </c>
      <c r="D420" s="81">
        <v>1</v>
      </c>
      <c r="E420" s="70">
        <v>1</v>
      </c>
      <c r="F420" s="81" t="s">
        <v>451</v>
      </c>
      <c r="G420" s="81" t="s">
        <v>411</v>
      </c>
      <c r="H420" s="81">
        <v>1960</v>
      </c>
      <c r="I420" s="81" t="s">
        <v>412</v>
      </c>
      <c r="J420" s="81"/>
    </row>
    <row r="421" spans="1:10" s="85" customFormat="1" x14ac:dyDescent="0.3">
      <c r="A421" s="87">
        <v>8.1700206043999994</v>
      </c>
      <c r="B421" s="87">
        <v>8.2242273351600002</v>
      </c>
      <c r="C421" s="81">
        <v>0</v>
      </c>
      <c r="D421" s="81">
        <v>1</v>
      </c>
      <c r="E421" s="70">
        <v>1</v>
      </c>
      <c r="F421" s="81" t="s">
        <v>451</v>
      </c>
      <c r="G421" s="81" t="s">
        <v>411</v>
      </c>
      <c r="H421" s="81">
        <v>1960</v>
      </c>
      <c r="I421" s="81" t="s">
        <v>412</v>
      </c>
      <c r="J421" s="81"/>
    </row>
    <row r="422" spans="1:10" s="85" customFormat="1" x14ac:dyDescent="0.3">
      <c r="A422" s="87">
        <v>8.1700206043999994</v>
      </c>
      <c r="B422" s="87">
        <v>8.2242273351600002</v>
      </c>
      <c r="C422" s="81">
        <v>0</v>
      </c>
      <c r="D422" s="81">
        <v>1</v>
      </c>
      <c r="E422" s="70">
        <v>1</v>
      </c>
      <c r="F422" s="81" t="s">
        <v>451</v>
      </c>
      <c r="G422" s="81" t="s">
        <v>411</v>
      </c>
      <c r="H422" s="81">
        <v>1960</v>
      </c>
      <c r="I422" s="81" t="s">
        <v>412</v>
      </c>
      <c r="J422" s="81"/>
    </row>
    <row r="423" spans="1:10" s="85" customFormat="1" x14ac:dyDescent="0.3">
      <c r="A423" s="87">
        <v>8.1700206043999994</v>
      </c>
      <c r="B423" s="87">
        <v>8.2242273351600002</v>
      </c>
      <c r="C423" s="81">
        <v>0</v>
      </c>
      <c r="D423" s="81">
        <v>1</v>
      </c>
      <c r="E423" s="70">
        <v>1</v>
      </c>
      <c r="F423" s="81" t="s">
        <v>451</v>
      </c>
      <c r="G423" s="81" t="s">
        <v>411</v>
      </c>
      <c r="H423" s="81">
        <v>1960</v>
      </c>
      <c r="I423" s="81" t="s">
        <v>412</v>
      </c>
      <c r="J423" s="81"/>
    </row>
    <row r="424" spans="1:10" s="85" customFormat="1" x14ac:dyDescent="0.3">
      <c r="A424" s="87">
        <v>8.1731684981699999</v>
      </c>
      <c r="B424" s="87">
        <v>5.1484203296700004</v>
      </c>
      <c r="C424" s="81">
        <v>0</v>
      </c>
      <c r="D424" s="81">
        <v>1</v>
      </c>
      <c r="E424" s="70">
        <v>1</v>
      </c>
      <c r="F424" s="81" t="s">
        <v>451</v>
      </c>
      <c r="G424" s="81" t="s">
        <v>411</v>
      </c>
      <c r="H424" s="81">
        <v>1960</v>
      </c>
      <c r="I424" s="81" t="s">
        <v>412</v>
      </c>
      <c r="J424" s="81"/>
    </row>
    <row r="425" spans="1:10" s="85" customFormat="1" x14ac:dyDescent="0.3">
      <c r="A425" s="87">
        <v>8.1795902014700008</v>
      </c>
      <c r="B425" s="87">
        <v>7.23377403846</v>
      </c>
      <c r="C425" s="81">
        <v>0</v>
      </c>
      <c r="D425" s="81">
        <v>1</v>
      </c>
      <c r="E425" s="70">
        <v>1</v>
      </c>
      <c r="F425" s="81" t="s">
        <v>451</v>
      </c>
      <c r="G425" s="81" t="s">
        <v>411</v>
      </c>
      <c r="H425" s="81">
        <v>1960</v>
      </c>
      <c r="I425" s="81" t="s">
        <v>412</v>
      </c>
      <c r="J425" s="81"/>
    </row>
    <row r="426" spans="1:10" s="85" customFormat="1" x14ac:dyDescent="0.3">
      <c r="A426" s="87">
        <v>8.1795902014700008</v>
      </c>
      <c r="B426" s="87">
        <v>7.23377403846</v>
      </c>
      <c r="C426" s="81">
        <v>0</v>
      </c>
      <c r="D426" s="81">
        <v>1</v>
      </c>
      <c r="E426" s="70">
        <v>1</v>
      </c>
      <c r="F426" s="81" t="s">
        <v>451</v>
      </c>
      <c r="G426" s="81" t="s">
        <v>411</v>
      </c>
      <c r="H426" s="81">
        <v>1960</v>
      </c>
      <c r="I426" s="81" t="s">
        <v>412</v>
      </c>
      <c r="J426" s="81"/>
    </row>
    <row r="427" spans="1:10" s="85" customFormat="1" x14ac:dyDescent="0.3">
      <c r="A427" s="87">
        <v>8.1795902014700008</v>
      </c>
      <c r="B427" s="87">
        <v>7.23377403846</v>
      </c>
      <c r="C427" s="81">
        <v>0</v>
      </c>
      <c r="D427" s="81">
        <v>1</v>
      </c>
      <c r="E427" s="70">
        <v>1</v>
      </c>
      <c r="F427" s="81" t="s">
        <v>451</v>
      </c>
      <c r="G427" s="81" t="s">
        <v>411</v>
      </c>
      <c r="H427" s="81">
        <v>1960</v>
      </c>
      <c r="I427" s="81" t="s">
        <v>412</v>
      </c>
      <c r="J427" s="81"/>
    </row>
    <row r="428" spans="1:10" s="85" customFormat="1" x14ac:dyDescent="0.3">
      <c r="A428" s="87">
        <v>8.1795902014700008</v>
      </c>
      <c r="B428" s="87">
        <v>7.23377403846</v>
      </c>
      <c r="C428" s="81">
        <v>0</v>
      </c>
      <c r="D428" s="81">
        <v>1</v>
      </c>
      <c r="E428" s="70">
        <v>1</v>
      </c>
      <c r="F428" s="81" t="s">
        <v>451</v>
      </c>
      <c r="G428" s="81" t="s">
        <v>411</v>
      </c>
      <c r="H428" s="81">
        <v>1960</v>
      </c>
      <c r="I428" s="81" t="s">
        <v>412</v>
      </c>
      <c r="J428" s="81"/>
    </row>
    <row r="429" spans="1:10" s="85" customFormat="1" x14ac:dyDescent="0.3">
      <c r="A429" s="87">
        <v>8.1795902014700008</v>
      </c>
      <c r="B429" s="87">
        <v>7.23377403846</v>
      </c>
      <c r="C429" s="81">
        <v>0</v>
      </c>
      <c r="D429" s="81">
        <v>1</v>
      </c>
      <c r="E429" s="70">
        <v>1</v>
      </c>
      <c r="F429" s="81" t="s">
        <v>451</v>
      </c>
      <c r="G429" s="81" t="s">
        <v>411</v>
      </c>
      <c r="H429" s="81">
        <v>1960</v>
      </c>
      <c r="I429" s="81" t="s">
        <v>412</v>
      </c>
      <c r="J429" s="81"/>
    </row>
    <row r="430" spans="1:10" s="85" customFormat="1" x14ac:dyDescent="0.3">
      <c r="A430" s="87">
        <v>9.1065819597100006</v>
      </c>
      <c r="B430" s="87">
        <v>10.2901270604</v>
      </c>
      <c r="C430" s="81">
        <v>0</v>
      </c>
      <c r="D430" s="81">
        <v>1</v>
      </c>
      <c r="E430" s="70">
        <v>1</v>
      </c>
      <c r="F430" s="81" t="s">
        <v>451</v>
      </c>
      <c r="G430" s="81" t="s">
        <v>411</v>
      </c>
      <c r="H430" s="81">
        <v>1960</v>
      </c>
      <c r="I430" s="81" t="s">
        <v>412</v>
      </c>
      <c r="J430" s="81"/>
    </row>
    <row r="431" spans="1:10" s="85" customFormat="1" x14ac:dyDescent="0.3">
      <c r="A431" s="87">
        <v>9.1791094322299998</v>
      </c>
      <c r="B431" s="87">
        <v>8.2835336538500002</v>
      </c>
      <c r="C431" s="81">
        <v>0</v>
      </c>
      <c r="D431" s="81">
        <v>1</v>
      </c>
      <c r="E431" s="70">
        <v>1</v>
      </c>
      <c r="F431" s="81" t="s">
        <v>451</v>
      </c>
      <c r="G431" s="81" t="s">
        <v>411</v>
      </c>
      <c r="H431" s="81">
        <v>1960</v>
      </c>
      <c r="I431" s="81" t="s">
        <v>412</v>
      </c>
      <c r="J431" s="81"/>
    </row>
    <row r="432" spans="1:10" s="85" customFormat="1" x14ac:dyDescent="0.3">
      <c r="A432" s="87">
        <v>9.1791094322299998</v>
      </c>
      <c r="B432" s="87">
        <v>8.2835336538500002</v>
      </c>
      <c r="C432" s="81">
        <v>0</v>
      </c>
      <c r="D432" s="81">
        <v>1</v>
      </c>
      <c r="E432" s="70">
        <v>1</v>
      </c>
      <c r="F432" s="81" t="s">
        <v>451</v>
      </c>
      <c r="G432" s="81" t="s">
        <v>411</v>
      </c>
      <c r="H432" s="81">
        <v>1960</v>
      </c>
      <c r="I432" s="81" t="s">
        <v>412</v>
      </c>
      <c r="J432" s="81"/>
    </row>
    <row r="433" spans="1:10" s="85" customFormat="1" x14ac:dyDescent="0.3">
      <c r="A433" s="87">
        <v>9.1894345238100001</v>
      </c>
      <c r="B433" s="87">
        <v>7.2148866758199999</v>
      </c>
      <c r="C433" s="81">
        <v>0</v>
      </c>
      <c r="D433" s="81">
        <v>1</v>
      </c>
      <c r="E433" s="70">
        <v>1</v>
      </c>
      <c r="F433" s="81" t="s">
        <v>451</v>
      </c>
      <c r="G433" s="81" t="s">
        <v>411</v>
      </c>
      <c r="H433" s="81">
        <v>1960</v>
      </c>
      <c r="I433" s="81" t="s">
        <v>412</v>
      </c>
      <c r="J433" s="81"/>
    </row>
    <row r="434" spans="1:10" s="85" customFormat="1" x14ac:dyDescent="0.3">
      <c r="A434" s="87">
        <v>9.1958562271099993</v>
      </c>
      <c r="B434" s="87">
        <v>9.3002403846200004</v>
      </c>
      <c r="C434" s="81">
        <v>0</v>
      </c>
      <c r="D434" s="81">
        <v>1</v>
      </c>
      <c r="E434" s="70">
        <v>1</v>
      </c>
      <c r="F434" s="81" t="s">
        <v>451</v>
      </c>
      <c r="G434" s="81" t="s">
        <v>411</v>
      </c>
      <c r="H434" s="81">
        <v>1960</v>
      </c>
      <c r="I434" s="81" t="s">
        <v>412</v>
      </c>
      <c r="J434" s="81"/>
    </row>
    <row r="435" spans="1:10" s="85" customFormat="1" x14ac:dyDescent="0.3">
      <c r="A435" s="87">
        <v>10.1788804945</v>
      </c>
      <c r="B435" s="87">
        <v>9.3072287087899994</v>
      </c>
      <c r="C435" s="81">
        <v>0</v>
      </c>
      <c r="D435" s="81">
        <v>1</v>
      </c>
      <c r="E435" s="70">
        <v>1</v>
      </c>
      <c r="F435" s="81" t="s">
        <v>451</v>
      </c>
      <c r="G435" s="81" t="s">
        <v>411</v>
      </c>
      <c r="H435" s="81">
        <v>1960</v>
      </c>
      <c r="I435" s="81" t="s">
        <v>412</v>
      </c>
      <c r="J435" s="81"/>
    </row>
    <row r="436" spans="1:10" s="85" customFormat="1" x14ac:dyDescent="0.3">
      <c r="A436" s="87">
        <v>10.1788804945</v>
      </c>
      <c r="B436" s="87">
        <v>9.3072287087899994</v>
      </c>
      <c r="C436" s="81">
        <v>0</v>
      </c>
      <c r="D436" s="81">
        <v>1</v>
      </c>
      <c r="E436" s="70">
        <v>1</v>
      </c>
      <c r="F436" s="81" t="s">
        <v>451</v>
      </c>
      <c r="G436" s="81" t="s">
        <v>411</v>
      </c>
      <c r="H436" s="81">
        <v>1960</v>
      </c>
      <c r="I436" s="81" t="s">
        <v>412</v>
      </c>
      <c r="J436" s="81"/>
    </row>
    <row r="437" spans="1:10" s="85" customFormat="1" x14ac:dyDescent="0.3">
      <c r="A437" s="87">
        <v>10.2152701465</v>
      </c>
      <c r="B437" s="87">
        <v>8.2908997252700001</v>
      </c>
      <c r="C437" s="81">
        <v>0</v>
      </c>
      <c r="D437" s="81">
        <v>1</v>
      </c>
      <c r="E437" s="70">
        <v>1</v>
      </c>
      <c r="F437" s="81" t="s">
        <v>451</v>
      </c>
      <c r="G437" s="81" t="s">
        <v>411</v>
      </c>
      <c r="H437" s="81">
        <v>1960</v>
      </c>
      <c r="I437" s="81" t="s">
        <v>412</v>
      </c>
      <c r="J437" s="81"/>
    </row>
    <row r="438" spans="1:10" s="85" customFormat="1" x14ac:dyDescent="0.3">
      <c r="A438" s="87">
        <v>10.222447344300001</v>
      </c>
      <c r="B438" s="87">
        <v>10.2980597527</v>
      </c>
      <c r="C438" s="81">
        <v>0</v>
      </c>
      <c r="D438" s="81">
        <v>1</v>
      </c>
      <c r="E438" s="70">
        <v>1</v>
      </c>
      <c r="F438" s="81" t="s">
        <v>451</v>
      </c>
      <c r="G438" s="81" t="s">
        <v>411</v>
      </c>
      <c r="H438" s="81">
        <v>1960</v>
      </c>
      <c r="I438" s="81" t="s">
        <v>412</v>
      </c>
      <c r="J438" s="81"/>
    </row>
    <row r="439" spans="1:10" s="85" customFormat="1" x14ac:dyDescent="0.3">
      <c r="A439" s="87">
        <v>10.222447344300001</v>
      </c>
      <c r="B439" s="87">
        <v>10.2980597527</v>
      </c>
      <c r="C439" s="81">
        <v>0</v>
      </c>
      <c r="D439" s="81">
        <v>1</v>
      </c>
      <c r="E439" s="70">
        <v>1</v>
      </c>
      <c r="F439" s="81" t="s">
        <v>451</v>
      </c>
      <c r="G439" s="81" t="s">
        <v>411</v>
      </c>
      <c r="H439" s="81">
        <v>1960</v>
      </c>
      <c r="I439" s="81" t="s">
        <v>412</v>
      </c>
      <c r="J439" s="81"/>
    </row>
    <row r="440" spans="1:10" s="85" customFormat="1" x14ac:dyDescent="0.3">
      <c r="A440" s="87">
        <v>10.602461080599999</v>
      </c>
      <c r="B440" s="87">
        <v>9.4666380494499993</v>
      </c>
      <c r="C440" s="81">
        <v>0</v>
      </c>
      <c r="D440" s="81">
        <v>1</v>
      </c>
      <c r="E440" s="70">
        <v>1</v>
      </c>
      <c r="F440" s="81" t="s">
        <v>451</v>
      </c>
      <c r="G440" s="81" t="s">
        <v>411</v>
      </c>
      <c r="H440" s="81">
        <v>1960</v>
      </c>
      <c r="I440" s="81" t="s">
        <v>412</v>
      </c>
      <c r="J440" s="81"/>
    </row>
    <row r="441" spans="1:10" x14ac:dyDescent="0.3">
      <c r="A441" s="23">
        <v>11.2591117216</v>
      </c>
      <c r="B441" s="23">
        <v>10.2532967033</v>
      </c>
      <c r="C441" s="15">
        <v>0</v>
      </c>
      <c r="D441" s="81">
        <v>1</v>
      </c>
      <c r="E441" s="70">
        <v>1</v>
      </c>
      <c r="F441" s="15" t="s">
        <v>451</v>
      </c>
      <c r="G441" s="15" t="s">
        <v>411</v>
      </c>
      <c r="H441" s="15">
        <v>1960</v>
      </c>
      <c r="I441" s="15" t="s">
        <v>412</v>
      </c>
    </row>
    <row r="442" spans="1:10" x14ac:dyDescent="0.3">
      <c r="A442" s="23">
        <v>12.258127289400001</v>
      </c>
      <c r="B442" s="23">
        <v>11.3551854396</v>
      </c>
      <c r="C442" s="81">
        <v>0</v>
      </c>
      <c r="D442" s="81">
        <v>1</v>
      </c>
      <c r="E442" s="70">
        <v>1</v>
      </c>
      <c r="F442" s="81" t="s">
        <v>451</v>
      </c>
      <c r="G442" s="81" t="s">
        <v>411</v>
      </c>
      <c r="H442" s="81">
        <v>1960</v>
      </c>
      <c r="I442" s="81" t="s">
        <v>412</v>
      </c>
    </row>
    <row r="443" spans="1:10" x14ac:dyDescent="0.3">
      <c r="A443" s="23">
        <v>1.95432619305</v>
      </c>
      <c r="B443" s="23">
        <v>0.95785749094200001</v>
      </c>
      <c r="C443" s="81">
        <v>0</v>
      </c>
      <c r="D443" s="81">
        <v>1</v>
      </c>
      <c r="E443" s="70">
        <v>2</v>
      </c>
      <c r="F443" s="81" t="s">
        <v>451</v>
      </c>
      <c r="G443" s="81" t="s">
        <v>411</v>
      </c>
      <c r="H443" s="81">
        <v>1960</v>
      </c>
      <c r="I443" s="81" t="s">
        <v>412</v>
      </c>
    </row>
    <row r="444" spans="1:10" x14ac:dyDescent="0.3">
      <c r="A444" s="23">
        <v>1.95432619305</v>
      </c>
      <c r="B444" s="23">
        <v>0.95785749094200001</v>
      </c>
      <c r="C444" s="81">
        <v>0</v>
      </c>
      <c r="D444" s="81">
        <v>1</v>
      </c>
      <c r="E444" s="70">
        <v>2</v>
      </c>
      <c r="F444" s="81" t="s">
        <v>451</v>
      </c>
      <c r="G444" s="81" t="s">
        <v>411</v>
      </c>
      <c r="H444" s="81">
        <v>1960</v>
      </c>
      <c r="I444" s="81" t="s">
        <v>412</v>
      </c>
    </row>
    <row r="445" spans="1:10" x14ac:dyDescent="0.3">
      <c r="A445" s="23">
        <v>3.1345707001199998</v>
      </c>
      <c r="B445" s="23">
        <v>6.1768544610899996</v>
      </c>
      <c r="C445" s="81">
        <v>0</v>
      </c>
      <c r="D445" s="81">
        <v>1</v>
      </c>
      <c r="E445" s="70">
        <v>2</v>
      </c>
      <c r="F445" s="81" t="s">
        <v>451</v>
      </c>
      <c r="G445" s="81" t="s">
        <v>411</v>
      </c>
      <c r="H445" s="81">
        <v>1960</v>
      </c>
      <c r="I445" s="81" t="s">
        <v>412</v>
      </c>
    </row>
    <row r="446" spans="1:10" x14ac:dyDescent="0.3">
      <c r="A446" s="23">
        <v>4.0234054424399996</v>
      </c>
      <c r="B446" s="23">
        <v>2.1042862893800001</v>
      </c>
      <c r="C446" s="81">
        <v>0</v>
      </c>
      <c r="D446" s="81">
        <v>1</v>
      </c>
      <c r="E446" s="70">
        <v>2</v>
      </c>
      <c r="F446" s="81" t="s">
        <v>451</v>
      </c>
      <c r="G446" s="81" t="s">
        <v>411</v>
      </c>
      <c r="H446" s="81">
        <v>1960</v>
      </c>
      <c r="I446" s="81" t="s">
        <v>412</v>
      </c>
    </row>
    <row r="447" spans="1:10" x14ac:dyDescent="0.3">
      <c r="A447" s="23">
        <v>4.0677656065700001</v>
      </c>
      <c r="B447" s="23">
        <v>5.0782888742900001</v>
      </c>
      <c r="C447" s="81">
        <v>0</v>
      </c>
      <c r="D447" s="81">
        <v>1</v>
      </c>
      <c r="E447" s="70">
        <v>2</v>
      </c>
      <c r="F447" s="81" t="s">
        <v>451</v>
      </c>
      <c r="G447" s="81" t="s">
        <v>411</v>
      </c>
      <c r="H447" s="81">
        <v>1960</v>
      </c>
      <c r="I447" s="81" t="s">
        <v>412</v>
      </c>
    </row>
    <row r="448" spans="1:10" x14ac:dyDescent="0.3">
      <c r="A448" s="23">
        <v>4.1174862809099997</v>
      </c>
      <c r="B448" s="23">
        <v>6.2365404580800003</v>
      </c>
      <c r="C448" s="81">
        <v>0</v>
      </c>
      <c r="D448" s="81">
        <v>1</v>
      </c>
      <c r="E448" s="70">
        <v>2</v>
      </c>
      <c r="F448" s="81" t="s">
        <v>451</v>
      </c>
      <c r="G448" s="81" t="s">
        <v>411</v>
      </c>
      <c r="H448" s="81">
        <v>1960</v>
      </c>
      <c r="I448" s="81" t="s">
        <v>412</v>
      </c>
    </row>
    <row r="449" spans="1:9" x14ac:dyDescent="0.3">
      <c r="A449" s="23">
        <v>4.1174862809099997</v>
      </c>
      <c r="B449" s="23">
        <v>6.2365404580800003</v>
      </c>
      <c r="C449" s="81">
        <v>0</v>
      </c>
      <c r="D449" s="81">
        <v>1</v>
      </c>
      <c r="E449" s="70">
        <v>2</v>
      </c>
      <c r="F449" s="81" t="s">
        <v>451</v>
      </c>
      <c r="G449" s="81" t="s">
        <v>411</v>
      </c>
      <c r="H449" s="81">
        <v>1960</v>
      </c>
      <c r="I449" s="81" t="s">
        <v>412</v>
      </c>
    </row>
    <row r="450" spans="1:9" x14ac:dyDescent="0.3">
      <c r="A450" s="23">
        <v>4.1174862809099997</v>
      </c>
      <c r="B450" s="23">
        <v>6.2365404580800003</v>
      </c>
      <c r="C450" s="81">
        <v>0</v>
      </c>
      <c r="D450" s="81">
        <v>1</v>
      </c>
      <c r="E450" s="70">
        <v>2</v>
      </c>
      <c r="F450" s="81" t="s">
        <v>451</v>
      </c>
      <c r="G450" s="81" t="s">
        <v>411</v>
      </c>
      <c r="H450" s="81">
        <v>1960</v>
      </c>
      <c r="I450" s="81" t="s">
        <v>412</v>
      </c>
    </row>
    <row r="451" spans="1:9" x14ac:dyDescent="0.3">
      <c r="A451" s="23">
        <v>4.1265758416800002</v>
      </c>
      <c r="B451" s="23">
        <v>3.1576583257399999</v>
      </c>
      <c r="C451" s="81">
        <v>0</v>
      </c>
      <c r="D451" s="81">
        <v>1</v>
      </c>
      <c r="E451" s="70">
        <v>2</v>
      </c>
      <c r="F451" s="81" t="s">
        <v>451</v>
      </c>
      <c r="G451" s="81" t="s">
        <v>411</v>
      </c>
      <c r="H451" s="81">
        <v>1960</v>
      </c>
      <c r="I451" s="81" t="s">
        <v>412</v>
      </c>
    </row>
    <row r="452" spans="1:9" x14ac:dyDescent="0.3">
      <c r="A452" s="23">
        <v>4.1593604113299998</v>
      </c>
      <c r="B452" s="23">
        <v>1.0526304637999999</v>
      </c>
      <c r="C452" s="81">
        <v>0</v>
      </c>
      <c r="D452" s="81">
        <v>1</v>
      </c>
      <c r="E452" s="70">
        <v>2</v>
      </c>
      <c r="F452" s="81" t="s">
        <v>451</v>
      </c>
      <c r="G452" s="81" t="s">
        <v>411</v>
      </c>
      <c r="H452" s="81">
        <v>1960</v>
      </c>
      <c r="I452" s="81" t="s">
        <v>412</v>
      </c>
    </row>
    <row r="453" spans="1:9" x14ac:dyDescent="0.3">
      <c r="A453" s="23">
        <v>4.1593604113299998</v>
      </c>
      <c r="B453" s="23">
        <v>1.0526304637999999</v>
      </c>
      <c r="C453" s="81">
        <v>0</v>
      </c>
      <c r="D453" s="81">
        <v>1</v>
      </c>
      <c r="E453" s="70">
        <v>2</v>
      </c>
      <c r="F453" s="81" t="s">
        <v>451</v>
      </c>
      <c r="G453" s="81" t="s">
        <v>411</v>
      </c>
      <c r="H453" s="81">
        <v>1960</v>
      </c>
      <c r="I453" s="81" t="s">
        <v>412</v>
      </c>
    </row>
    <row r="454" spans="1:9" x14ac:dyDescent="0.3">
      <c r="A454" s="23">
        <v>4.1593604113299998</v>
      </c>
      <c r="B454" s="23">
        <v>1.0526304637999999</v>
      </c>
      <c r="C454" s="81">
        <v>0</v>
      </c>
      <c r="D454" s="81">
        <v>1</v>
      </c>
      <c r="E454" s="70">
        <v>2</v>
      </c>
      <c r="F454" s="81" t="s">
        <v>451</v>
      </c>
      <c r="G454" s="81" t="s">
        <v>411</v>
      </c>
      <c r="H454" s="81">
        <v>1960</v>
      </c>
      <c r="I454" s="81" t="s">
        <v>412</v>
      </c>
    </row>
    <row r="455" spans="1:9" x14ac:dyDescent="0.3">
      <c r="A455" s="23">
        <v>4.2033321326899999</v>
      </c>
      <c r="B455" s="23">
        <v>4.1582092082099997</v>
      </c>
      <c r="C455" s="81">
        <v>0</v>
      </c>
      <c r="D455" s="81">
        <v>1</v>
      </c>
      <c r="E455" s="70">
        <v>2</v>
      </c>
      <c r="F455" s="81" t="s">
        <v>451</v>
      </c>
      <c r="G455" s="81" t="s">
        <v>411</v>
      </c>
      <c r="H455" s="81">
        <v>1960</v>
      </c>
      <c r="I455" s="81" t="s">
        <v>412</v>
      </c>
    </row>
    <row r="456" spans="1:9" x14ac:dyDescent="0.3">
      <c r="A456" s="23">
        <v>4.2033321326899999</v>
      </c>
      <c r="B456" s="23">
        <v>4.1582092082099997</v>
      </c>
      <c r="C456" s="81">
        <v>0</v>
      </c>
      <c r="D456" s="81">
        <v>1</v>
      </c>
      <c r="E456" s="70">
        <v>2</v>
      </c>
      <c r="F456" s="81" t="s">
        <v>451</v>
      </c>
      <c r="G456" s="81" t="s">
        <v>411</v>
      </c>
      <c r="H456" s="81">
        <v>1960</v>
      </c>
      <c r="I456" s="81" t="s">
        <v>412</v>
      </c>
    </row>
    <row r="457" spans="1:9" x14ac:dyDescent="0.3">
      <c r="A457" s="23">
        <v>4.2033321326899999</v>
      </c>
      <c r="B457" s="23">
        <v>4.1582092082099997</v>
      </c>
      <c r="C457" s="81">
        <v>0</v>
      </c>
      <c r="D457" s="81">
        <v>1</v>
      </c>
      <c r="E457" s="70">
        <v>2</v>
      </c>
      <c r="F457" s="81" t="s">
        <v>451</v>
      </c>
      <c r="G457" s="81" t="s">
        <v>411</v>
      </c>
      <c r="H457" s="81">
        <v>1960</v>
      </c>
      <c r="I457" s="81" t="s">
        <v>412</v>
      </c>
    </row>
    <row r="458" spans="1:9" x14ac:dyDescent="0.3">
      <c r="A458" s="23">
        <v>4.2033321326899999</v>
      </c>
      <c r="B458" s="23">
        <v>4.1582092082099997</v>
      </c>
      <c r="C458" s="81">
        <v>0</v>
      </c>
      <c r="D458" s="81">
        <v>1</v>
      </c>
      <c r="E458" s="70">
        <v>2</v>
      </c>
      <c r="F458" s="81" t="s">
        <v>451</v>
      </c>
      <c r="G458" s="81" t="s">
        <v>411</v>
      </c>
      <c r="H458" s="81">
        <v>1960</v>
      </c>
      <c r="I458" s="81" t="s">
        <v>412</v>
      </c>
    </row>
    <row r="459" spans="1:9" x14ac:dyDescent="0.3">
      <c r="A459" s="23">
        <v>4.2033321326899999</v>
      </c>
      <c r="B459" s="23">
        <v>4.1582092082099997</v>
      </c>
      <c r="C459" s="81">
        <v>0</v>
      </c>
      <c r="D459" s="81">
        <v>1</v>
      </c>
      <c r="E459" s="70">
        <v>2</v>
      </c>
      <c r="F459" s="81" t="s">
        <v>451</v>
      </c>
      <c r="G459" s="81" t="s">
        <v>411</v>
      </c>
      <c r="H459" s="81">
        <v>1960</v>
      </c>
      <c r="I459" s="81" t="s">
        <v>412</v>
      </c>
    </row>
    <row r="460" spans="1:9" x14ac:dyDescent="0.3">
      <c r="A460" s="23">
        <v>4.2033321326899999</v>
      </c>
      <c r="B460" s="23">
        <v>4.1582092082099997</v>
      </c>
      <c r="C460" s="81">
        <v>0</v>
      </c>
      <c r="D460" s="81">
        <v>1</v>
      </c>
      <c r="E460" s="70">
        <v>2</v>
      </c>
      <c r="F460" s="81" t="s">
        <v>451</v>
      </c>
      <c r="G460" s="81" t="s">
        <v>411</v>
      </c>
      <c r="H460" s="81">
        <v>1960</v>
      </c>
      <c r="I460" s="81" t="s">
        <v>412</v>
      </c>
    </row>
    <row r="461" spans="1:9" x14ac:dyDescent="0.3">
      <c r="A461" s="23">
        <v>4.2033321326899999</v>
      </c>
      <c r="B461" s="23">
        <v>4.1582092082099997</v>
      </c>
      <c r="C461" s="81">
        <v>0</v>
      </c>
      <c r="D461" s="81">
        <v>1</v>
      </c>
      <c r="E461" s="70">
        <v>2</v>
      </c>
      <c r="F461" s="81" t="s">
        <v>451</v>
      </c>
      <c r="G461" s="81" t="s">
        <v>411</v>
      </c>
      <c r="H461" s="81">
        <v>1960</v>
      </c>
      <c r="I461" s="81" t="s">
        <v>412</v>
      </c>
    </row>
    <row r="462" spans="1:9" x14ac:dyDescent="0.3">
      <c r="A462" s="23">
        <v>5.1334971855599996</v>
      </c>
      <c r="B462" s="23">
        <v>4.0859376655300004</v>
      </c>
      <c r="C462" s="81">
        <v>0</v>
      </c>
      <c r="D462" s="81">
        <v>1</v>
      </c>
      <c r="E462" s="70">
        <v>2</v>
      </c>
      <c r="F462" s="81" t="s">
        <v>451</v>
      </c>
      <c r="G462" s="81" t="s">
        <v>411</v>
      </c>
      <c r="H462" s="81">
        <v>1960</v>
      </c>
      <c r="I462" s="81" t="s">
        <v>412</v>
      </c>
    </row>
    <row r="463" spans="1:9" x14ac:dyDescent="0.3">
      <c r="A463" s="23">
        <v>5.1804987605099999</v>
      </c>
      <c r="B463" s="23">
        <v>6.1652223658300001</v>
      </c>
      <c r="C463" s="81">
        <v>0</v>
      </c>
      <c r="D463" s="81">
        <v>1</v>
      </c>
      <c r="E463" s="70">
        <v>2</v>
      </c>
      <c r="F463" s="81" t="s">
        <v>451</v>
      </c>
      <c r="G463" s="81" t="s">
        <v>411</v>
      </c>
      <c r="H463" s="81">
        <v>1960</v>
      </c>
      <c r="I463" s="81" t="s">
        <v>412</v>
      </c>
    </row>
    <row r="464" spans="1:9" x14ac:dyDescent="0.3">
      <c r="A464" s="23">
        <v>6.1605398648199996</v>
      </c>
      <c r="B464" s="23">
        <v>7.1985719431300002</v>
      </c>
      <c r="C464" s="81">
        <v>0</v>
      </c>
      <c r="D464" s="81">
        <v>1</v>
      </c>
      <c r="E464" s="70">
        <v>2</v>
      </c>
      <c r="F464" s="81" t="s">
        <v>451</v>
      </c>
      <c r="G464" s="81" t="s">
        <v>411</v>
      </c>
      <c r="H464" s="81">
        <v>1960</v>
      </c>
      <c r="I464" s="81" t="s">
        <v>412</v>
      </c>
    </row>
    <row r="465" spans="1:9" x14ac:dyDescent="0.3">
      <c r="A465" s="23">
        <v>6.1605398648199996</v>
      </c>
      <c r="B465" s="23">
        <v>7.1985719431300002</v>
      </c>
      <c r="C465" s="81">
        <v>0</v>
      </c>
      <c r="D465" s="81">
        <v>1</v>
      </c>
      <c r="E465" s="70">
        <v>2</v>
      </c>
      <c r="F465" s="81" t="s">
        <v>451</v>
      </c>
      <c r="G465" s="81" t="s">
        <v>411</v>
      </c>
      <c r="H465" s="81">
        <v>1960</v>
      </c>
      <c r="I465" s="81" t="s">
        <v>412</v>
      </c>
    </row>
    <row r="466" spans="1:9" x14ac:dyDescent="0.3">
      <c r="A466" s="23">
        <v>6.1634920298600004</v>
      </c>
      <c r="B466" s="23">
        <v>6.19859313092</v>
      </c>
      <c r="C466" s="81">
        <v>0</v>
      </c>
      <c r="D466" s="81">
        <v>1</v>
      </c>
      <c r="E466" s="70">
        <v>2</v>
      </c>
      <c r="F466" s="81" t="s">
        <v>451</v>
      </c>
      <c r="G466" s="81" t="s">
        <v>411</v>
      </c>
      <c r="H466" s="81">
        <v>1960</v>
      </c>
      <c r="I466" s="81" t="s">
        <v>412</v>
      </c>
    </row>
    <row r="467" spans="1:9" x14ac:dyDescent="0.3">
      <c r="A467" s="23">
        <v>6.1634920298600004</v>
      </c>
      <c r="B467" s="23">
        <v>6.19859313092</v>
      </c>
      <c r="C467" s="81">
        <v>0</v>
      </c>
      <c r="D467" s="81">
        <v>1</v>
      </c>
      <c r="E467" s="70">
        <v>2</v>
      </c>
      <c r="F467" s="81" t="s">
        <v>451</v>
      </c>
      <c r="G467" s="81" t="s">
        <v>411</v>
      </c>
      <c r="H467" s="81">
        <v>1960</v>
      </c>
      <c r="I467" s="81" t="s">
        <v>412</v>
      </c>
    </row>
    <row r="468" spans="1:9" x14ac:dyDescent="0.3">
      <c r="A468" s="23">
        <v>6.1634920298600004</v>
      </c>
      <c r="B468" s="23">
        <v>6.19859313092</v>
      </c>
      <c r="C468" s="81">
        <v>0</v>
      </c>
      <c r="D468" s="81">
        <v>1</v>
      </c>
      <c r="E468" s="70">
        <v>2</v>
      </c>
      <c r="F468" s="81" t="s">
        <v>451</v>
      </c>
      <c r="G468" s="81" t="s">
        <v>411</v>
      </c>
      <c r="H468" s="81">
        <v>1960</v>
      </c>
      <c r="I468" s="81" t="s">
        <v>412</v>
      </c>
    </row>
    <row r="469" spans="1:9" x14ac:dyDescent="0.3">
      <c r="A469" s="23">
        <v>6.1634920298600004</v>
      </c>
      <c r="B469" s="23">
        <v>6.19859313092</v>
      </c>
      <c r="C469" s="81">
        <v>0</v>
      </c>
      <c r="D469" s="81">
        <v>1</v>
      </c>
      <c r="E469" s="70">
        <v>2</v>
      </c>
      <c r="F469" s="81" t="s">
        <v>451</v>
      </c>
      <c r="G469" s="81" t="s">
        <v>411</v>
      </c>
      <c r="H469" s="81">
        <v>1960</v>
      </c>
      <c r="I469" s="81" t="s">
        <v>412</v>
      </c>
    </row>
    <row r="470" spans="1:9" x14ac:dyDescent="0.3">
      <c r="A470" s="23">
        <v>6.1634920298600004</v>
      </c>
      <c r="B470" s="23">
        <v>6.19859313092</v>
      </c>
      <c r="C470" s="81">
        <v>0</v>
      </c>
      <c r="D470" s="81">
        <v>1</v>
      </c>
      <c r="E470" s="70">
        <v>2</v>
      </c>
      <c r="F470" s="81" t="s">
        <v>451</v>
      </c>
      <c r="G470" s="81" t="s">
        <v>411</v>
      </c>
      <c r="H470" s="81">
        <v>1960</v>
      </c>
      <c r="I470" s="81" t="s">
        <v>412</v>
      </c>
    </row>
    <row r="471" spans="1:9" x14ac:dyDescent="0.3">
      <c r="A471" s="23">
        <v>6.1840794965799999</v>
      </c>
      <c r="B471" s="23">
        <v>8.2250566773300005</v>
      </c>
      <c r="C471" s="81">
        <v>0</v>
      </c>
      <c r="D471" s="81">
        <v>1</v>
      </c>
      <c r="E471" s="70">
        <v>2</v>
      </c>
      <c r="F471" s="81" t="s">
        <v>451</v>
      </c>
      <c r="G471" s="81" t="s">
        <v>411</v>
      </c>
      <c r="H471" s="81">
        <v>1960</v>
      </c>
      <c r="I471" s="81" t="s">
        <v>412</v>
      </c>
    </row>
    <row r="472" spans="1:9" x14ac:dyDescent="0.3">
      <c r="A472" s="23">
        <v>6.2463857166099999</v>
      </c>
      <c r="B472" s="23">
        <v>5.1202406932600004</v>
      </c>
      <c r="C472" s="81">
        <v>0</v>
      </c>
      <c r="D472" s="81">
        <v>1</v>
      </c>
      <c r="E472" s="70">
        <v>2</v>
      </c>
      <c r="F472" s="81" t="s">
        <v>451</v>
      </c>
      <c r="G472" s="81" t="s">
        <v>411</v>
      </c>
      <c r="H472" s="81">
        <v>1960</v>
      </c>
      <c r="I472" s="81" t="s">
        <v>412</v>
      </c>
    </row>
    <row r="473" spans="1:9" x14ac:dyDescent="0.3">
      <c r="A473" s="23">
        <v>7.1997019584600004</v>
      </c>
      <c r="B473" s="23">
        <v>6.2060300442800003</v>
      </c>
      <c r="C473" s="81">
        <v>0</v>
      </c>
      <c r="D473" s="81">
        <v>1</v>
      </c>
      <c r="E473" s="70">
        <v>2</v>
      </c>
      <c r="F473" s="81" t="s">
        <v>451</v>
      </c>
      <c r="G473" s="81" t="s">
        <v>411</v>
      </c>
      <c r="H473" s="81">
        <v>1960</v>
      </c>
      <c r="I473" s="81" t="s">
        <v>412</v>
      </c>
    </row>
    <row r="474" spans="1:9" x14ac:dyDescent="0.3">
      <c r="A474" s="23">
        <v>7.2558707827499997</v>
      </c>
      <c r="B474" s="23">
        <v>5.1801173803399996</v>
      </c>
      <c r="C474" s="81">
        <v>0</v>
      </c>
      <c r="D474" s="81">
        <v>1</v>
      </c>
      <c r="E474" s="70">
        <v>2</v>
      </c>
      <c r="F474" s="81" t="s">
        <v>451</v>
      </c>
      <c r="G474" s="81" t="s">
        <v>411</v>
      </c>
      <c r="H474" s="81">
        <v>1960</v>
      </c>
      <c r="I474" s="81" t="s">
        <v>412</v>
      </c>
    </row>
    <row r="475" spans="1:9" x14ac:dyDescent="0.3">
      <c r="A475" s="23">
        <v>7.2558707827499997</v>
      </c>
      <c r="B475" s="23">
        <v>5.1801173803399996</v>
      </c>
      <c r="C475" s="81">
        <v>0</v>
      </c>
      <c r="D475" s="81">
        <v>1</v>
      </c>
      <c r="E475" s="70">
        <v>2</v>
      </c>
      <c r="F475" s="81" t="s">
        <v>451</v>
      </c>
      <c r="G475" s="81" t="s">
        <v>411</v>
      </c>
      <c r="H475" s="81">
        <v>1960</v>
      </c>
      <c r="I475" s="81" t="s">
        <v>412</v>
      </c>
    </row>
    <row r="476" spans="1:9" x14ac:dyDescent="0.3">
      <c r="A476" s="23">
        <v>7.2997648155599997</v>
      </c>
      <c r="B476" s="23">
        <v>8.3120113566500002</v>
      </c>
      <c r="C476" s="81">
        <v>0</v>
      </c>
      <c r="D476" s="81">
        <v>1</v>
      </c>
      <c r="E476" s="70">
        <v>2</v>
      </c>
      <c r="F476" s="81" t="s">
        <v>451</v>
      </c>
      <c r="G476" s="81" t="s">
        <v>411</v>
      </c>
      <c r="H476" s="81">
        <v>1960</v>
      </c>
      <c r="I476" s="81" t="s">
        <v>412</v>
      </c>
    </row>
    <row r="477" spans="1:9" x14ac:dyDescent="0.3">
      <c r="A477" s="23">
        <v>7.2997648155599997</v>
      </c>
      <c r="B477" s="23">
        <v>8.3120113566500002</v>
      </c>
      <c r="C477" s="81">
        <v>0</v>
      </c>
      <c r="D477" s="81">
        <v>1</v>
      </c>
      <c r="E477" s="70">
        <v>2</v>
      </c>
      <c r="F477" s="81" t="s">
        <v>451</v>
      </c>
      <c r="G477" s="81" t="s">
        <v>411</v>
      </c>
      <c r="H477" s="81">
        <v>1960</v>
      </c>
      <c r="I477" s="81" t="s">
        <v>412</v>
      </c>
    </row>
    <row r="478" spans="1:9" x14ac:dyDescent="0.3">
      <c r="A478" s="23">
        <v>8.2800389855300001</v>
      </c>
      <c r="B478" s="23">
        <v>9.2664152382600005</v>
      </c>
      <c r="C478" s="81">
        <v>0</v>
      </c>
      <c r="D478" s="81">
        <v>1</v>
      </c>
      <c r="E478" s="70">
        <v>2</v>
      </c>
      <c r="F478" s="81" t="s">
        <v>451</v>
      </c>
      <c r="G478" s="81" t="s">
        <v>411</v>
      </c>
      <c r="H478" s="81">
        <v>1960</v>
      </c>
      <c r="I478" s="81" t="s">
        <v>412</v>
      </c>
    </row>
    <row r="479" spans="1:9" x14ac:dyDescent="0.3">
      <c r="A479" s="23">
        <v>8.2800389855300001</v>
      </c>
      <c r="B479" s="23">
        <v>9.2664152382600005</v>
      </c>
      <c r="C479" s="81">
        <v>0</v>
      </c>
      <c r="D479" s="81">
        <v>1</v>
      </c>
      <c r="E479" s="70">
        <v>2</v>
      </c>
      <c r="F479" s="81" t="s">
        <v>451</v>
      </c>
      <c r="G479" s="81" t="s">
        <v>411</v>
      </c>
      <c r="H479" s="81">
        <v>1960</v>
      </c>
      <c r="I479" s="81" t="s">
        <v>412</v>
      </c>
    </row>
    <row r="480" spans="1:9" x14ac:dyDescent="0.3">
      <c r="A480" s="23">
        <v>8.2800389855300001</v>
      </c>
      <c r="B480" s="23">
        <v>9.2664152382600005</v>
      </c>
      <c r="C480" s="81">
        <v>0</v>
      </c>
      <c r="D480" s="81">
        <v>1</v>
      </c>
      <c r="E480" s="70">
        <v>2</v>
      </c>
      <c r="F480" s="81" t="s">
        <v>451</v>
      </c>
      <c r="G480" s="81" t="s">
        <v>411</v>
      </c>
      <c r="H480" s="81">
        <v>1960</v>
      </c>
      <c r="I480" s="81" t="s">
        <v>412</v>
      </c>
    </row>
    <row r="481" spans="1:9" x14ac:dyDescent="0.3">
      <c r="A481" s="23">
        <v>8.2860986927100004</v>
      </c>
      <c r="B481" s="23">
        <v>7.2138271500300002</v>
      </c>
      <c r="C481" s="81">
        <v>0</v>
      </c>
      <c r="D481" s="81">
        <v>1</v>
      </c>
      <c r="E481" s="70">
        <v>2</v>
      </c>
      <c r="F481" s="81" t="s">
        <v>451</v>
      </c>
      <c r="G481" s="81" t="s">
        <v>411</v>
      </c>
      <c r="H481" s="81">
        <v>1960</v>
      </c>
      <c r="I481" s="81" t="s">
        <v>412</v>
      </c>
    </row>
    <row r="482" spans="1:9" x14ac:dyDescent="0.3">
      <c r="A482" s="23">
        <v>8.3299150369700001</v>
      </c>
      <c r="B482" s="23">
        <v>10.372036358200001</v>
      </c>
      <c r="C482" s="81">
        <v>0</v>
      </c>
      <c r="D482" s="81">
        <v>1</v>
      </c>
      <c r="E482" s="70">
        <v>2</v>
      </c>
      <c r="F482" s="81" t="s">
        <v>451</v>
      </c>
      <c r="G482" s="81" t="s">
        <v>411</v>
      </c>
      <c r="H482" s="81">
        <v>1960</v>
      </c>
      <c r="I482" s="81" t="s">
        <v>412</v>
      </c>
    </row>
    <row r="483" spans="1:9" x14ac:dyDescent="0.3">
      <c r="A483" s="23">
        <v>8.3360524327099998</v>
      </c>
      <c r="B483" s="23">
        <v>8.2931330381200006</v>
      </c>
      <c r="C483" s="81">
        <v>0</v>
      </c>
      <c r="D483" s="81">
        <v>1</v>
      </c>
      <c r="E483" s="70">
        <v>2</v>
      </c>
      <c r="F483" s="81" t="s">
        <v>451</v>
      </c>
      <c r="G483" s="81" t="s">
        <v>411</v>
      </c>
      <c r="H483" s="81">
        <v>1960</v>
      </c>
      <c r="I483" s="81" t="s">
        <v>412</v>
      </c>
    </row>
    <row r="484" spans="1:9" x14ac:dyDescent="0.3">
      <c r="A484" s="23">
        <v>8.3360524327099998</v>
      </c>
      <c r="B484" s="23">
        <v>8.2931330381200006</v>
      </c>
      <c r="C484" s="81">
        <v>0</v>
      </c>
      <c r="D484" s="81">
        <v>1</v>
      </c>
      <c r="E484" s="70">
        <v>2</v>
      </c>
      <c r="F484" s="81" t="s">
        <v>451</v>
      </c>
      <c r="G484" s="81" t="s">
        <v>411</v>
      </c>
      <c r="H484" s="81">
        <v>1960</v>
      </c>
      <c r="I484" s="81" t="s">
        <v>412</v>
      </c>
    </row>
    <row r="485" spans="1:9" x14ac:dyDescent="0.3">
      <c r="A485" s="23">
        <v>8.3360524327099998</v>
      </c>
      <c r="B485" s="23">
        <v>8.2931330381200006</v>
      </c>
      <c r="C485" s="81">
        <v>0</v>
      </c>
      <c r="D485" s="81">
        <v>1</v>
      </c>
      <c r="E485" s="70">
        <v>2</v>
      </c>
      <c r="F485" s="81" t="s">
        <v>451</v>
      </c>
      <c r="G485" s="81" t="s">
        <v>411</v>
      </c>
      <c r="H485" s="81">
        <v>1960</v>
      </c>
      <c r="I485" s="81" t="s">
        <v>412</v>
      </c>
    </row>
    <row r="486" spans="1:9" x14ac:dyDescent="0.3">
      <c r="A486" s="23">
        <v>8.3360524327099998</v>
      </c>
      <c r="B486" s="23">
        <v>8.2931330381200006</v>
      </c>
      <c r="C486" s="81">
        <v>0</v>
      </c>
      <c r="D486" s="81">
        <v>1</v>
      </c>
      <c r="E486" s="70">
        <v>2</v>
      </c>
      <c r="F486" s="81" t="s">
        <v>451</v>
      </c>
      <c r="G486" s="81" t="s">
        <v>411</v>
      </c>
      <c r="H486" s="81">
        <v>1960</v>
      </c>
      <c r="I486" s="81" t="s">
        <v>412</v>
      </c>
    </row>
    <row r="487" spans="1:9" x14ac:dyDescent="0.3">
      <c r="A487" s="23">
        <v>9.2631876319799993</v>
      </c>
      <c r="B487" s="23">
        <v>9.2471555395500005</v>
      </c>
      <c r="C487" s="81">
        <v>0</v>
      </c>
      <c r="D487" s="81">
        <v>1</v>
      </c>
      <c r="E487" s="70">
        <v>2</v>
      </c>
      <c r="F487" s="81" t="s">
        <v>451</v>
      </c>
      <c r="G487" s="81" t="s">
        <v>411</v>
      </c>
      <c r="H487" s="81">
        <v>1960</v>
      </c>
      <c r="I487" s="81" t="s">
        <v>412</v>
      </c>
    </row>
    <row r="488" spans="1:9" x14ac:dyDescent="0.3">
      <c r="A488" s="23">
        <v>9.28657188663</v>
      </c>
      <c r="B488" s="23">
        <v>10.3262707375</v>
      </c>
      <c r="C488" s="81">
        <v>0</v>
      </c>
      <c r="D488" s="81">
        <v>1</v>
      </c>
      <c r="E488" s="70">
        <v>2</v>
      </c>
      <c r="F488" s="81" t="s">
        <v>451</v>
      </c>
      <c r="G488" s="81" t="s">
        <v>411</v>
      </c>
      <c r="H488" s="81">
        <v>1960</v>
      </c>
      <c r="I488" s="81" t="s">
        <v>412</v>
      </c>
    </row>
    <row r="489" spans="1:9" x14ac:dyDescent="0.3">
      <c r="A489" s="23">
        <v>9.28657188663</v>
      </c>
      <c r="B489" s="23">
        <v>10.3262707375</v>
      </c>
      <c r="C489" s="81">
        <v>0</v>
      </c>
      <c r="D489" s="81">
        <v>1</v>
      </c>
      <c r="E489" s="70">
        <v>2</v>
      </c>
      <c r="F489" s="81" t="s">
        <v>451</v>
      </c>
      <c r="G489" s="81" t="s">
        <v>411</v>
      </c>
      <c r="H489" s="81">
        <v>1960</v>
      </c>
      <c r="I489" s="81" t="s">
        <v>412</v>
      </c>
    </row>
    <row r="490" spans="1:9" x14ac:dyDescent="0.3">
      <c r="A490" s="23">
        <v>9.28657188663</v>
      </c>
      <c r="B490" s="23">
        <v>10.3262707375</v>
      </c>
      <c r="C490" s="81">
        <v>0</v>
      </c>
      <c r="D490" s="81">
        <v>1</v>
      </c>
      <c r="E490" s="70">
        <v>2</v>
      </c>
      <c r="F490" s="81" t="s">
        <v>451</v>
      </c>
      <c r="G490" s="81" t="s">
        <v>411</v>
      </c>
      <c r="H490" s="81">
        <v>1960</v>
      </c>
      <c r="I490" s="81" t="s">
        <v>412</v>
      </c>
    </row>
    <row r="491" spans="1:9" x14ac:dyDescent="0.3">
      <c r="A491" s="23">
        <v>9.28657188663</v>
      </c>
      <c r="B491" s="23">
        <v>10.3262707375</v>
      </c>
      <c r="C491" s="81">
        <v>0</v>
      </c>
      <c r="D491" s="81">
        <v>1</v>
      </c>
      <c r="E491" s="70">
        <v>2</v>
      </c>
      <c r="F491" s="81" t="s">
        <v>451</v>
      </c>
      <c r="G491" s="81" t="s">
        <v>411</v>
      </c>
      <c r="H491" s="81">
        <v>1960</v>
      </c>
      <c r="I491" s="81" t="s">
        <v>412</v>
      </c>
    </row>
    <row r="492" spans="1:9" x14ac:dyDescent="0.3">
      <c r="A492" s="23">
        <v>9.3456928759599993</v>
      </c>
      <c r="B492" s="23">
        <v>8.3003792613900007</v>
      </c>
      <c r="C492" s="81">
        <v>0</v>
      </c>
      <c r="D492" s="81">
        <v>1</v>
      </c>
      <c r="E492" s="70">
        <v>2</v>
      </c>
      <c r="F492" s="81" t="s">
        <v>451</v>
      </c>
      <c r="G492" s="81" t="s">
        <v>411</v>
      </c>
      <c r="H492" s="81">
        <v>1960</v>
      </c>
      <c r="I492" s="81" t="s">
        <v>412</v>
      </c>
    </row>
    <row r="493" spans="1:9" x14ac:dyDescent="0.3">
      <c r="A493" s="23">
        <v>9.3456928759599993</v>
      </c>
      <c r="B493" s="23">
        <v>8.3003792613900007</v>
      </c>
      <c r="C493" s="81">
        <v>0</v>
      </c>
      <c r="D493" s="81">
        <v>1</v>
      </c>
      <c r="E493" s="70">
        <v>2</v>
      </c>
      <c r="F493" s="81" t="s">
        <v>451</v>
      </c>
      <c r="G493" s="81" t="s">
        <v>411</v>
      </c>
      <c r="H493" s="81">
        <v>1960</v>
      </c>
      <c r="I493" s="81" t="s">
        <v>412</v>
      </c>
    </row>
    <row r="494" spans="1:9" x14ac:dyDescent="0.3">
      <c r="A494" s="23">
        <v>9.3489557952099993</v>
      </c>
      <c r="B494" s="23">
        <v>7.1951395215799998</v>
      </c>
      <c r="C494" s="81">
        <v>0</v>
      </c>
      <c r="D494" s="81">
        <v>1</v>
      </c>
      <c r="E494" s="70">
        <v>2</v>
      </c>
      <c r="F494" s="81" t="s">
        <v>451</v>
      </c>
      <c r="G494" s="81" t="s">
        <v>411</v>
      </c>
      <c r="H494" s="81">
        <v>1960</v>
      </c>
      <c r="I494" s="81" t="s">
        <v>412</v>
      </c>
    </row>
    <row r="495" spans="1:9" x14ac:dyDescent="0.3">
      <c r="A495" s="23">
        <v>10.4024125827</v>
      </c>
      <c r="B495" s="23">
        <v>10.3605949531</v>
      </c>
      <c r="C495" s="81">
        <v>0</v>
      </c>
      <c r="D495" s="81">
        <v>1</v>
      </c>
      <c r="E495" s="70">
        <v>2</v>
      </c>
      <c r="F495" s="81" t="s">
        <v>451</v>
      </c>
      <c r="G495" s="81" t="s">
        <v>411</v>
      </c>
      <c r="H495" s="81">
        <v>1960</v>
      </c>
      <c r="I495" s="81" t="s">
        <v>412</v>
      </c>
    </row>
    <row r="496" spans="1:9" x14ac:dyDescent="0.3">
      <c r="A496" s="23">
        <v>10.4024125827</v>
      </c>
      <c r="B496" s="23">
        <v>10.3605949531</v>
      </c>
      <c r="C496" s="81">
        <v>0</v>
      </c>
      <c r="D496" s="81">
        <v>1</v>
      </c>
      <c r="E496" s="70">
        <v>2</v>
      </c>
      <c r="F496" s="81" t="s">
        <v>451</v>
      </c>
      <c r="G496" s="81" t="s">
        <v>411</v>
      </c>
      <c r="H496" s="81">
        <v>1960</v>
      </c>
      <c r="I496" s="81" t="s">
        <v>412</v>
      </c>
    </row>
    <row r="497" spans="1:9" x14ac:dyDescent="0.3">
      <c r="A497" s="23">
        <v>10.4024125827</v>
      </c>
      <c r="B497" s="23">
        <v>10.3605949531</v>
      </c>
      <c r="C497" s="81">
        <v>0</v>
      </c>
      <c r="D497" s="81">
        <v>1</v>
      </c>
      <c r="E497" s="70">
        <v>2</v>
      </c>
      <c r="F497" s="81" t="s">
        <v>451</v>
      </c>
      <c r="G497" s="81" t="s">
        <v>411</v>
      </c>
      <c r="H497" s="81">
        <v>1960</v>
      </c>
      <c r="I497" s="81" t="s">
        <v>412</v>
      </c>
    </row>
    <row r="498" spans="1:9" x14ac:dyDescent="0.3">
      <c r="A498" s="23">
        <v>10.4055978134</v>
      </c>
      <c r="B498" s="23">
        <v>9.2816704451599996</v>
      </c>
      <c r="C498" s="81">
        <v>0</v>
      </c>
      <c r="D498" s="81">
        <v>1</v>
      </c>
      <c r="E498" s="70">
        <v>2</v>
      </c>
      <c r="F498" s="81" t="s">
        <v>451</v>
      </c>
      <c r="G498" s="81" t="s">
        <v>411</v>
      </c>
      <c r="H498" s="81">
        <v>1960</v>
      </c>
      <c r="I498" s="81" t="s">
        <v>412</v>
      </c>
    </row>
    <row r="499" spans="1:9" x14ac:dyDescent="0.3">
      <c r="A499" s="23">
        <v>10.422766983800001</v>
      </c>
      <c r="B499" s="23">
        <v>12.4660041952</v>
      </c>
      <c r="C499" s="81">
        <v>0</v>
      </c>
      <c r="D499" s="81">
        <v>1</v>
      </c>
      <c r="E499" s="70">
        <v>2</v>
      </c>
      <c r="F499" s="81" t="s">
        <v>451</v>
      </c>
      <c r="G499" s="81" t="s">
        <v>411</v>
      </c>
      <c r="H499" s="81">
        <v>1960</v>
      </c>
      <c r="I499" s="81" t="s">
        <v>412</v>
      </c>
    </row>
    <row r="500" spans="1:9" x14ac:dyDescent="0.3">
      <c r="A500" s="23">
        <v>10.4525216998</v>
      </c>
      <c r="B500" s="23">
        <v>11.3872703774</v>
      </c>
      <c r="C500" s="81">
        <v>0</v>
      </c>
      <c r="D500" s="81">
        <v>1</v>
      </c>
      <c r="E500" s="70">
        <v>2</v>
      </c>
      <c r="F500" s="81" t="s">
        <v>451</v>
      </c>
      <c r="G500" s="81" t="s">
        <v>411</v>
      </c>
      <c r="H500" s="81">
        <v>1960</v>
      </c>
      <c r="I500" s="81" t="s">
        <v>412</v>
      </c>
    </row>
    <row r="501" spans="1:9" x14ac:dyDescent="0.3">
      <c r="A501" s="23">
        <v>11.438544822800001</v>
      </c>
      <c r="B501" s="23">
        <v>10.394347098300001</v>
      </c>
      <c r="C501" s="81">
        <v>0</v>
      </c>
      <c r="D501" s="81">
        <v>1</v>
      </c>
      <c r="E501" s="70">
        <v>2</v>
      </c>
      <c r="F501" s="81" t="s">
        <v>451</v>
      </c>
      <c r="G501" s="81" t="s">
        <v>411</v>
      </c>
      <c r="H501" s="81">
        <v>1960</v>
      </c>
      <c r="I501" s="81" t="s">
        <v>412</v>
      </c>
    </row>
    <row r="502" spans="1:9" x14ac:dyDescent="0.3">
      <c r="A502" s="23">
        <v>11.438544822800001</v>
      </c>
      <c r="B502" s="23">
        <v>10.394347098300001</v>
      </c>
      <c r="C502" s="81">
        <v>0</v>
      </c>
      <c r="D502" s="81">
        <v>1</v>
      </c>
      <c r="E502" s="70">
        <v>2</v>
      </c>
      <c r="F502" s="81" t="s">
        <v>451</v>
      </c>
      <c r="G502" s="81" t="s">
        <v>411</v>
      </c>
      <c r="H502" s="81">
        <v>1960</v>
      </c>
      <c r="I502" s="81" t="s">
        <v>412</v>
      </c>
    </row>
    <row r="503" spans="1:9" x14ac:dyDescent="0.3">
      <c r="A503" s="23">
        <v>0.85905239495100005</v>
      </c>
      <c r="B503" s="23">
        <v>1.00399446654</v>
      </c>
      <c r="C503" s="81">
        <v>0</v>
      </c>
      <c r="D503" s="81">
        <v>1</v>
      </c>
      <c r="E503" s="70">
        <v>3</v>
      </c>
      <c r="F503" s="81" t="s">
        <v>451</v>
      </c>
      <c r="G503" s="81" t="s">
        <v>411</v>
      </c>
      <c r="H503" s="81">
        <v>1960</v>
      </c>
      <c r="I503" s="81" t="s">
        <v>412</v>
      </c>
    </row>
    <row r="504" spans="1:9" x14ac:dyDescent="0.3">
      <c r="A504" s="23">
        <v>0.85905239495100005</v>
      </c>
      <c r="B504" s="23">
        <v>1.00399446654</v>
      </c>
      <c r="C504" s="81">
        <v>0</v>
      </c>
      <c r="D504" s="81">
        <v>1</v>
      </c>
      <c r="E504" s="70">
        <v>3</v>
      </c>
      <c r="F504" s="81" t="s">
        <v>451</v>
      </c>
      <c r="G504" s="81" t="s">
        <v>411</v>
      </c>
      <c r="H504" s="81">
        <v>1960</v>
      </c>
      <c r="I504" s="81" t="s">
        <v>412</v>
      </c>
    </row>
    <row r="505" spans="1:9" x14ac:dyDescent="0.3">
      <c r="A505" s="23">
        <v>0.85905239495100005</v>
      </c>
      <c r="B505" s="23">
        <v>1.00399446654</v>
      </c>
      <c r="C505" s="81">
        <v>0</v>
      </c>
      <c r="D505" s="81">
        <v>1</v>
      </c>
      <c r="E505" s="70">
        <v>3</v>
      </c>
      <c r="F505" s="81" t="s">
        <v>451</v>
      </c>
      <c r="G505" s="81" t="s">
        <v>411</v>
      </c>
      <c r="H505" s="81">
        <v>1960</v>
      </c>
      <c r="I505" s="81" t="s">
        <v>412</v>
      </c>
    </row>
    <row r="506" spans="1:9" x14ac:dyDescent="0.3">
      <c r="A506" s="23">
        <v>0.85905239495100005</v>
      </c>
      <c r="B506" s="23">
        <v>1.00399446654</v>
      </c>
      <c r="C506" s="81">
        <v>0</v>
      </c>
      <c r="D506" s="81">
        <v>1</v>
      </c>
      <c r="E506" s="4">
        <v>3</v>
      </c>
      <c r="F506" s="15" t="s">
        <v>451</v>
      </c>
      <c r="G506" s="15" t="s">
        <v>411</v>
      </c>
      <c r="H506" s="15">
        <v>1960</v>
      </c>
      <c r="I506" s="15" t="s">
        <v>412</v>
      </c>
    </row>
    <row r="507" spans="1:9" x14ac:dyDescent="0.3">
      <c r="A507" s="23">
        <v>0.85905239495100005</v>
      </c>
      <c r="B507" s="23">
        <v>1.00399446654</v>
      </c>
      <c r="C507" s="81">
        <v>0</v>
      </c>
      <c r="D507" s="81">
        <v>1</v>
      </c>
      <c r="E507" s="70">
        <v>3</v>
      </c>
      <c r="F507" s="81" t="s">
        <v>451</v>
      </c>
      <c r="G507" s="81" t="s">
        <v>411</v>
      </c>
      <c r="H507" s="81">
        <v>1960</v>
      </c>
      <c r="I507" s="81" t="s">
        <v>412</v>
      </c>
    </row>
    <row r="508" spans="1:9" x14ac:dyDescent="0.3">
      <c r="A508" s="23">
        <v>0.85905239495100005</v>
      </c>
      <c r="B508" s="23">
        <v>1.00399446654</v>
      </c>
      <c r="C508" s="81">
        <v>0</v>
      </c>
      <c r="D508" s="81">
        <v>1</v>
      </c>
      <c r="E508" s="70">
        <v>3</v>
      </c>
      <c r="F508" s="81" t="s">
        <v>451</v>
      </c>
      <c r="G508" s="81" t="s">
        <v>411</v>
      </c>
      <c r="H508" s="81">
        <v>1960</v>
      </c>
      <c r="I508" s="81" t="s">
        <v>412</v>
      </c>
    </row>
    <row r="509" spans="1:9" x14ac:dyDescent="0.3">
      <c r="A509" s="23">
        <v>0.85905239495100005</v>
      </c>
      <c r="B509" s="23">
        <v>1.00399446654</v>
      </c>
      <c r="C509" s="81">
        <v>0</v>
      </c>
      <c r="D509" s="81">
        <v>1</v>
      </c>
      <c r="E509" s="70">
        <v>3</v>
      </c>
      <c r="F509" s="81" t="s">
        <v>451</v>
      </c>
      <c r="G509" s="81" t="s">
        <v>411</v>
      </c>
      <c r="H509" s="81">
        <v>1960</v>
      </c>
      <c r="I509" s="81" t="s">
        <v>412</v>
      </c>
    </row>
    <row r="510" spans="1:9" x14ac:dyDescent="0.3">
      <c r="A510" s="23">
        <v>0.85905239495100005</v>
      </c>
      <c r="B510" s="23">
        <v>1.00399446654</v>
      </c>
      <c r="C510" s="81">
        <v>0</v>
      </c>
      <c r="D510" s="81">
        <v>1</v>
      </c>
      <c r="E510" s="70">
        <v>3</v>
      </c>
      <c r="F510" s="81" t="s">
        <v>451</v>
      </c>
      <c r="G510" s="81" t="s">
        <v>411</v>
      </c>
      <c r="H510" s="81">
        <v>1960</v>
      </c>
      <c r="I510" s="81" t="s">
        <v>412</v>
      </c>
    </row>
    <row r="511" spans="1:9" x14ac:dyDescent="0.3">
      <c r="A511" s="23">
        <v>0.85905239495100005</v>
      </c>
      <c r="B511" s="23">
        <v>1.00399446654</v>
      </c>
      <c r="C511" s="81">
        <v>0</v>
      </c>
      <c r="D511" s="81">
        <v>1</v>
      </c>
      <c r="E511" s="70">
        <v>3</v>
      </c>
      <c r="F511" s="81" t="s">
        <v>451</v>
      </c>
      <c r="G511" s="81" t="s">
        <v>411</v>
      </c>
      <c r="H511" s="81">
        <v>1960</v>
      </c>
      <c r="I511" s="81" t="s">
        <v>412</v>
      </c>
    </row>
    <row r="512" spans="1:9" x14ac:dyDescent="0.3">
      <c r="A512" s="23">
        <v>1.25704075163</v>
      </c>
      <c r="B512" s="23">
        <v>1.03309700847</v>
      </c>
      <c r="C512" s="81">
        <v>0</v>
      </c>
      <c r="D512" s="81">
        <v>1</v>
      </c>
      <c r="E512" s="70">
        <v>3</v>
      </c>
      <c r="F512" s="81" t="s">
        <v>451</v>
      </c>
      <c r="G512" s="81" t="s">
        <v>411</v>
      </c>
      <c r="H512" s="81">
        <v>1960</v>
      </c>
      <c r="I512" s="81" t="s">
        <v>412</v>
      </c>
    </row>
    <row r="513" spans="1:9" x14ac:dyDescent="0.3">
      <c r="A513" s="87">
        <v>1.27498414894</v>
      </c>
      <c r="B513" s="23">
        <v>1.47952619748</v>
      </c>
      <c r="C513" s="81">
        <v>0</v>
      </c>
      <c r="D513" s="81">
        <v>1</v>
      </c>
      <c r="E513" s="70">
        <v>3</v>
      </c>
      <c r="F513" s="81" t="s">
        <v>451</v>
      </c>
      <c r="G513" s="81" t="s">
        <v>411</v>
      </c>
      <c r="H513" s="81">
        <v>1960</v>
      </c>
      <c r="I513" s="81" t="s">
        <v>412</v>
      </c>
    </row>
    <row r="514" spans="1:9" x14ac:dyDescent="0.3">
      <c r="A514" s="87">
        <v>1.92170730301</v>
      </c>
      <c r="B514" s="23">
        <v>1.0116029742299999</v>
      </c>
      <c r="C514" s="81">
        <v>0</v>
      </c>
      <c r="D514" s="81">
        <v>1</v>
      </c>
      <c r="E514" s="70">
        <v>3</v>
      </c>
      <c r="F514" s="81" t="s">
        <v>451</v>
      </c>
      <c r="G514" s="81" t="s">
        <v>411</v>
      </c>
      <c r="H514" s="81">
        <v>1960</v>
      </c>
      <c r="I514" s="81" t="s">
        <v>412</v>
      </c>
    </row>
    <row r="515" spans="1:9" x14ac:dyDescent="0.3">
      <c r="A515" s="87">
        <v>1.94066516802</v>
      </c>
      <c r="B515" s="23">
        <v>1.40553346014</v>
      </c>
      <c r="C515" s="81">
        <v>0</v>
      </c>
      <c r="D515" s="81">
        <v>1</v>
      </c>
      <c r="E515" s="70">
        <v>3</v>
      </c>
      <c r="F515" s="81" t="s">
        <v>451</v>
      </c>
      <c r="G515" s="81" t="s">
        <v>411</v>
      </c>
      <c r="H515" s="81">
        <v>1960</v>
      </c>
      <c r="I515" s="81" t="s">
        <v>412</v>
      </c>
    </row>
    <row r="516" spans="1:9" x14ac:dyDescent="0.3">
      <c r="A516" s="87">
        <v>1.94066516802</v>
      </c>
      <c r="B516" s="23">
        <v>1.40553346014</v>
      </c>
      <c r="C516" s="81">
        <v>0</v>
      </c>
      <c r="D516" s="81">
        <v>1</v>
      </c>
      <c r="E516" s="70">
        <v>3</v>
      </c>
      <c r="F516" s="81" t="s">
        <v>451</v>
      </c>
      <c r="G516" s="81" t="s">
        <v>411</v>
      </c>
      <c r="H516" s="81">
        <v>1960</v>
      </c>
      <c r="I516" s="81" t="s">
        <v>412</v>
      </c>
    </row>
    <row r="517" spans="1:9" x14ac:dyDescent="0.3">
      <c r="A517" s="87">
        <v>1.94066516802</v>
      </c>
      <c r="B517" s="23">
        <v>1.40553346014</v>
      </c>
      <c r="C517" s="81">
        <v>0</v>
      </c>
      <c r="D517" s="81">
        <v>1</v>
      </c>
      <c r="E517" s="70">
        <v>3</v>
      </c>
      <c r="F517" s="81" t="s">
        <v>451</v>
      </c>
      <c r="G517" s="81" t="s">
        <v>411</v>
      </c>
      <c r="H517" s="81">
        <v>1960</v>
      </c>
      <c r="I517" s="81" t="s">
        <v>412</v>
      </c>
    </row>
    <row r="518" spans="1:9" x14ac:dyDescent="0.3">
      <c r="A518" s="87">
        <v>1.94066516802</v>
      </c>
      <c r="B518" s="23">
        <v>1.40553346014</v>
      </c>
      <c r="C518" s="81">
        <v>0</v>
      </c>
      <c r="D518" s="81">
        <v>1</v>
      </c>
      <c r="E518" s="70">
        <v>3</v>
      </c>
      <c r="F518" s="81" t="s">
        <v>451</v>
      </c>
      <c r="G518" s="81" t="s">
        <v>411</v>
      </c>
      <c r="H518" s="81">
        <v>1960</v>
      </c>
      <c r="I518" s="81" t="s">
        <v>412</v>
      </c>
    </row>
    <row r="519" spans="1:9" x14ac:dyDescent="0.3">
      <c r="A519" s="87">
        <v>1.94066516802</v>
      </c>
      <c r="B519" s="23">
        <v>1.40553346014</v>
      </c>
      <c r="C519" s="81">
        <v>0</v>
      </c>
      <c r="D519" s="81">
        <v>1</v>
      </c>
      <c r="E519" s="70">
        <v>3</v>
      </c>
      <c r="F519" s="81" t="s">
        <v>451</v>
      </c>
      <c r="G519" s="81" t="s">
        <v>411</v>
      </c>
      <c r="H519" s="81">
        <v>1960</v>
      </c>
      <c r="I519" s="81" t="s">
        <v>412</v>
      </c>
    </row>
    <row r="520" spans="1:9" x14ac:dyDescent="0.3">
      <c r="A520" s="87">
        <v>2.8979422445099998</v>
      </c>
      <c r="B520" s="23">
        <v>4.1164447518599996</v>
      </c>
      <c r="C520" s="81">
        <v>0</v>
      </c>
      <c r="D520" s="81">
        <v>1</v>
      </c>
      <c r="E520" s="70">
        <v>3</v>
      </c>
      <c r="F520" s="81" t="s">
        <v>451</v>
      </c>
      <c r="G520" s="81" t="s">
        <v>411</v>
      </c>
      <c r="H520" s="81">
        <v>1960</v>
      </c>
      <c r="I520" s="81" t="s">
        <v>412</v>
      </c>
    </row>
    <row r="521" spans="1:9" x14ac:dyDescent="0.3">
      <c r="A521" s="87">
        <v>2.9380137183700001</v>
      </c>
      <c r="B521" s="23">
        <v>2.0427459795999998</v>
      </c>
      <c r="C521" s="81">
        <v>0</v>
      </c>
      <c r="D521" s="81">
        <v>1</v>
      </c>
      <c r="E521" s="70">
        <v>3</v>
      </c>
      <c r="F521" s="81" t="s">
        <v>451</v>
      </c>
      <c r="G521" s="81" t="s">
        <v>411</v>
      </c>
      <c r="H521" s="81">
        <v>1960</v>
      </c>
      <c r="I521" s="81" t="s">
        <v>412</v>
      </c>
    </row>
    <row r="522" spans="1:9" x14ac:dyDescent="0.3">
      <c r="A522" s="87">
        <v>2.9380137183700001</v>
      </c>
      <c r="B522" s="23">
        <v>2.0427459795999998</v>
      </c>
      <c r="C522" s="81">
        <v>0</v>
      </c>
      <c r="D522" s="81">
        <v>1</v>
      </c>
      <c r="E522" s="70">
        <v>3</v>
      </c>
      <c r="F522" s="81" t="s">
        <v>451</v>
      </c>
      <c r="G522" s="81" t="s">
        <v>411</v>
      </c>
      <c r="H522" s="81">
        <v>1960</v>
      </c>
      <c r="I522" s="81" t="s">
        <v>412</v>
      </c>
    </row>
    <row r="523" spans="1:9" x14ac:dyDescent="0.3">
      <c r="A523" s="87">
        <v>2.9380137183700001</v>
      </c>
      <c r="B523" s="23">
        <v>2.0427459795999998</v>
      </c>
      <c r="C523" s="81">
        <v>0</v>
      </c>
      <c r="D523" s="81">
        <v>1</v>
      </c>
      <c r="E523" s="70">
        <v>3</v>
      </c>
      <c r="F523" s="81" t="s">
        <v>451</v>
      </c>
      <c r="G523" s="81" t="s">
        <v>411</v>
      </c>
      <c r="H523" s="81">
        <v>1960</v>
      </c>
      <c r="I523" s="81" t="s">
        <v>412</v>
      </c>
    </row>
    <row r="524" spans="1:9" x14ac:dyDescent="0.3">
      <c r="A524" s="87">
        <v>2.9380137183700001</v>
      </c>
      <c r="B524" s="23">
        <v>2.0427459795999998</v>
      </c>
      <c r="C524" s="81">
        <v>0</v>
      </c>
      <c r="D524" s="81">
        <v>1</v>
      </c>
      <c r="E524" s="70">
        <v>3</v>
      </c>
      <c r="F524" s="81" t="s">
        <v>451</v>
      </c>
      <c r="G524" s="81" t="s">
        <v>411</v>
      </c>
      <c r="H524" s="81">
        <v>1960</v>
      </c>
      <c r="I524" s="81" t="s">
        <v>412</v>
      </c>
    </row>
    <row r="525" spans="1:9" x14ac:dyDescent="0.3">
      <c r="A525" s="87">
        <v>2.9380137183700001</v>
      </c>
      <c r="B525" s="23">
        <v>2.0427459795999998</v>
      </c>
      <c r="C525" s="81">
        <v>0</v>
      </c>
      <c r="D525" s="81">
        <v>1</v>
      </c>
      <c r="E525" s="70">
        <v>3</v>
      </c>
      <c r="F525" s="81" t="s">
        <v>451</v>
      </c>
      <c r="G525" s="81" t="s">
        <v>411</v>
      </c>
      <c r="H525" s="81">
        <v>1960</v>
      </c>
      <c r="I525" s="81" t="s">
        <v>412</v>
      </c>
    </row>
    <row r="526" spans="1:9" x14ac:dyDescent="0.3">
      <c r="A526" s="87">
        <v>3.9871635252800002</v>
      </c>
      <c r="B526" s="23">
        <v>4.1242434722499999</v>
      </c>
      <c r="C526" s="81">
        <v>0</v>
      </c>
      <c r="D526" s="81">
        <v>1</v>
      </c>
      <c r="E526" s="70">
        <v>3</v>
      </c>
      <c r="F526" s="81" t="s">
        <v>451</v>
      </c>
      <c r="G526" s="81" t="s">
        <v>411</v>
      </c>
      <c r="H526" s="81">
        <v>1960</v>
      </c>
      <c r="I526" s="81" t="s">
        <v>412</v>
      </c>
    </row>
    <row r="527" spans="1:9" x14ac:dyDescent="0.3">
      <c r="A527" s="23">
        <v>3.9871635252800002</v>
      </c>
      <c r="B527" s="23">
        <v>4.1242434722499999</v>
      </c>
      <c r="C527" s="81">
        <v>0</v>
      </c>
      <c r="D527" s="81">
        <v>1</v>
      </c>
      <c r="E527" s="70">
        <v>3</v>
      </c>
      <c r="F527" s="81" t="s">
        <v>451</v>
      </c>
      <c r="G527" s="81" t="s">
        <v>411</v>
      </c>
      <c r="H527" s="81">
        <v>1960</v>
      </c>
      <c r="I527" s="81" t="s">
        <v>412</v>
      </c>
    </row>
    <row r="528" spans="1:9" x14ac:dyDescent="0.3">
      <c r="A528" s="87">
        <v>3.9871635252800002</v>
      </c>
      <c r="B528" s="23">
        <v>4.1242434722499999</v>
      </c>
      <c r="C528" s="81">
        <v>0</v>
      </c>
      <c r="D528" s="81">
        <v>1</v>
      </c>
      <c r="E528" s="70">
        <v>3</v>
      </c>
      <c r="F528" s="81" t="s">
        <v>451</v>
      </c>
      <c r="G528" s="81" t="s">
        <v>411</v>
      </c>
      <c r="H528" s="81">
        <v>1960</v>
      </c>
      <c r="I528" s="81" t="s">
        <v>412</v>
      </c>
    </row>
    <row r="529" spans="1:9" x14ac:dyDescent="0.3">
      <c r="A529" s="87">
        <v>3.9924260764300001</v>
      </c>
      <c r="B529" s="23">
        <v>5.2269064499400004</v>
      </c>
      <c r="C529" s="81">
        <v>0</v>
      </c>
      <c r="D529" s="81">
        <v>1</v>
      </c>
      <c r="E529" s="70">
        <v>3</v>
      </c>
      <c r="F529" s="81" t="s">
        <v>451</v>
      </c>
      <c r="G529" s="81" t="s">
        <v>411</v>
      </c>
      <c r="H529" s="81">
        <v>1960</v>
      </c>
      <c r="I529" s="81" t="s">
        <v>412</v>
      </c>
    </row>
    <row r="530" spans="1:9" x14ac:dyDescent="0.3">
      <c r="A530" s="87">
        <v>3.9924260764300001</v>
      </c>
      <c r="B530" s="23">
        <v>5.2269064499400004</v>
      </c>
      <c r="C530" s="81">
        <v>0</v>
      </c>
      <c r="D530" s="81">
        <v>1</v>
      </c>
      <c r="E530" s="70">
        <v>3</v>
      </c>
      <c r="F530" s="81" t="s">
        <v>451</v>
      </c>
      <c r="G530" s="81" t="s">
        <v>411</v>
      </c>
      <c r="H530" s="81">
        <v>1960</v>
      </c>
      <c r="I530" s="81" t="s">
        <v>412</v>
      </c>
    </row>
    <row r="531" spans="1:9" x14ac:dyDescent="0.3">
      <c r="A531" s="87">
        <v>3.9992103291299999</v>
      </c>
      <c r="B531" s="23">
        <v>6.25082137299</v>
      </c>
      <c r="C531" s="81">
        <v>0</v>
      </c>
      <c r="D531" s="81">
        <v>1</v>
      </c>
      <c r="E531" s="70">
        <v>3</v>
      </c>
      <c r="F531" s="81" t="s">
        <v>451</v>
      </c>
      <c r="G531" s="81" t="s">
        <v>411</v>
      </c>
      <c r="H531" s="81">
        <v>1960</v>
      </c>
      <c r="I531" s="81" t="s">
        <v>412</v>
      </c>
    </row>
    <row r="532" spans="1:9" x14ac:dyDescent="0.3">
      <c r="A532" s="87">
        <v>3.9992103291299999</v>
      </c>
      <c r="B532" s="23">
        <v>6.25082137299</v>
      </c>
      <c r="C532" s="81">
        <v>0</v>
      </c>
      <c r="D532" s="81">
        <v>1</v>
      </c>
      <c r="E532" s="70">
        <v>3</v>
      </c>
      <c r="F532" s="81" t="s">
        <v>451</v>
      </c>
      <c r="G532" s="81" t="s">
        <v>411</v>
      </c>
      <c r="H532" s="81">
        <v>1960</v>
      </c>
      <c r="I532" s="81" t="s">
        <v>412</v>
      </c>
    </row>
    <row r="533" spans="1:9" x14ac:dyDescent="0.3">
      <c r="A533" s="87">
        <v>4.02723499914</v>
      </c>
      <c r="B533" s="23">
        <v>2.0505446999800001</v>
      </c>
      <c r="C533" s="81">
        <v>0</v>
      </c>
      <c r="D533" s="81">
        <v>1</v>
      </c>
      <c r="E533" s="70">
        <v>3</v>
      </c>
      <c r="F533" s="81" t="s">
        <v>451</v>
      </c>
      <c r="G533" s="81" t="s">
        <v>411</v>
      </c>
      <c r="H533" s="81">
        <v>1960</v>
      </c>
      <c r="I533" s="81" t="s">
        <v>412</v>
      </c>
    </row>
    <row r="534" spans="1:9" x14ac:dyDescent="0.3">
      <c r="A534" s="87">
        <v>4.02723499914</v>
      </c>
      <c r="B534" s="23">
        <v>2.0505446999800001</v>
      </c>
      <c r="C534" s="81">
        <v>0</v>
      </c>
      <c r="D534" s="81">
        <v>1</v>
      </c>
      <c r="E534" s="70">
        <v>3</v>
      </c>
      <c r="F534" s="81" t="s">
        <v>451</v>
      </c>
      <c r="G534" s="81" t="s">
        <v>411</v>
      </c>
      <c r="H534" s="81">
        <v>1960</v>
      </c>
      <c r="I534" s="81" t="s">
        <v>412</v>
      </c>
    </row>
    <row r="535" spans="1:9" x14ac:dyDescent="0.3">
      <c r="A535" s="87">
        <v>4.0402962706799999</v>
      </c>
      <c r="B535" s="23">
        <v>4.1246238976300003</v>
      </c>
      <c r="C535" s="81">
        <v>0</v>
      </c>
      <c r="D535" s="81">
        <v>1</v>
      </c>
      <c r="E535" s="70">
        <v>3</v>
      </c>
      <c r="F535" s="81" t="s">
        <v>451</v>
      </c>
      <c r="G535" s="81" t="s">
        <v>411</v>
      </c>
      <c r="H535" s="81">
        <v>1960</v>
      </c>
      <c r="I535" s="81" t="s">
        <v>412</v>
      </c>
    </row>
    <row r="536" spans="1:9" x14ac:dyDescent="0.3">
      <c r="A536" s="87">
        <v>4.9701193152299998</v>
      </c>
      <c r="B536" s="23">
        <v>4.1312813418600003</v>
      </c>
      <c r="C536" s="81">
        <v>0</v>
      </c>
      <c r="D536" s="81">
        <v>1</v>
      </c>
      <c r="E536" s="70">
        <v>3</v>
      </c>
      <c r="F536" s="81" t="s">
        <v>451</v>
      </c>
      <c r="G536" s="81" t="s">
        <v>411</v>
      </c>
      <c r="H536" s="81">
        <v>1960</v>
      </c>
      <c r="I536" s="81" t="s">
        <v>412</v>
      </c>
    </row>
    <row r="537" spans="1:9" x14ac:dyDescent="0.3">
      <c r="A537" s="87">
        <v>5.0174822756399999</v>
      </c>
      <c r="B537" s="23">
        <v>3.0552481410999999</v>
      </c>
      <c r="C537" s="81">
        <v>0</v>
      </c>
      <c r="D537" s="81">
        <v>1</v>
      </c>
      <c r="E537" s="70">
        <v>3</v>
      </c>
      <c r="F537" s="81" t="s">
        <v>451</v>
      </c>
      <c r="G537" s="81" t="s">
        <v>411</v>
      </c>
      <c r="H537" s="81">
        <v>1960</v>
      </c>
      <c r="I537" s="81" t="s">
        <v>412</v>
      </c>
    </row>
    <row r="538" spans="1:9" x14ac:dyDescent="0.3">
      <c r="A538" s="87">
        <v>5.0884316098899998</v>
      </c>
      <c r="B538" s="23">
        <v>6.2586200933800002</v>
      </c>
      <c r="C538" s="81">
        <v>0</v>
      </c>
      <c r="D538" s="81">
        <v>1</v>
      </c>
      <c r="E538" s="70">
        <v>3</v>
      </c>
      <c r="F538" s="81" t="s">
        <v>451</v>
      </c>
      <c r="G538" s="81" t="s">
        <v>411</v>
      </c>
      <c r="H538" s="81">
        <v>1960</v>
      </c>
      <c r="I538" s="81" t="s">
        <v>412</v>
      </c>
    </row>
    <row r="539" spans="1:9" x14ac:dyDescent="0.3">
      <c r="A539" s="87">
        <v>5.1295175514400002</v>
      </c>
      <c r="B539" s="23">
        <v>4.1324226180199997</v>
      </c>
      <c r="C539" s="81">
        <v>0</v>
      </c>
      <c r="D539" s="81">
        <v>1</v>
      </c>
      <c r="E539" s="70">
        <v>3</v>
      </c>
      <c r="F539" s="81" t="s">
        <v>451</v>
      </c>
      <c r="G539" s="81" t="s">
        <v>411</v>
      </c>
      <c r="H539" s="81">
        <v>1960</v>
      </c>
      <c r="I539" s="81" t="s">
        <v>412</v>
      </c>
    </row>
    <row r="540" spans="1:9" x14ac:dyDescent="0.3">
      <c r="A540" s="87">
        <v>5.1295175514400002</v>
      </c>
      <c r="B540" s="23">
        <v>4.1324226180199997</v>
      </c>
      <c r="C540" s="81">
        <v>0</v>
      </c>
      <c r="D540" s="81">
        <v>1</v>
      </c>
      <c r="E540" s="70">
        <v>3</v>
      </c>
      <c r="F540" s="81" t="s">
        <v>451</v>
      </c>
      <c r="G540" s="81" t="s">
        <v>411</v>
      </c>
      <c r="H540" s="81">
        <v>1960</v>
      </c>
      <c r="I540" s="81" t="s">
        <v>412</v>
      </c>
    </row>
    <row r="541" spans="1:9" x14ac:dyDescent="0.3">
      <c r="A541" s="87">
        <v>6.0599112340800003</v>
      </c>
      <c r="B541" s="23">
        <v>8.2345495417599999</v>
      </c>
      <c r="C541" s="81">
        <v>0</v>
      </c>
      <c r="D541" s="81">
        <v>1</v>
      </c>
      <c r="E541" s="70">
        <v>3</v>
      </c>
      <c r="F541" s="81" t="s">
        <v>451</v>
      </c>
      <c r="G541" s="81" t="s">
        <v>411</v>
      </c>
      <c r="H541" s="81">
        <v>1960</v>
      </c>
      <c r="I541" s="81" t="s">
        <v>412</v>
      </c>
    </row>
    <row r="542" spans="1:9" x14ac:dyDescent="0.3">
      <c r="A542" s="87">
        <v>6.0848925010099997</v>
      </c>
      <c r="B542" s="23">
        <v>4.1917689780399998</v>
      </c>
      <c r="C542" s="81">
        <v>0</v>
      </c>
      <c r="D542" s="81">
        <v>1</v>
      </c>
      <c r="E542" s="70">
        <v>3</v>
      </c>
      <c r="F542" s="81" t="s">
        <v>451</v>
      </c>
      <c r="G542" s="81" t="s">
        <v>411</v>
      </c>
      <c r="H542" s="81">
        <v>1960</v>
      </c>
      <c r="I542" s="81" t="s">
        <v>412</v>
      </c>
    </row>
    <row r="543" spans="1:9" x14ac:dyDescent="0.3">
      <c r="A543" s="87">
        <v>6.0984610064</v>
      </c>
      <c r="B543" s="23">
        <v>6.2395988241399998</v>
      </c>
      <c r="C543" s="81">
        <v>0</v>
      </c>
      <c r="D543" s="81">
        <v>1</v>
      </c>
      <c r="E543" s="70">
        <v>3</v>
      </c>
      <c r="F543" s="81" t="s">
        <v>451</v>
      </c>
      <c r="G543" s="81" t="s">
        <v>411</v>
      </c>
      <c r="H543" s="81">
        <v>1960</v>
      </c>
      <c r="I543" s="81" t="s">
        <v>412</v>
      </c>
    </row>
    <row r="544" spans="1:9" x14ac:dyDescent="0.3">
      <c r="A544" s="87">
        <v>6.0984610064</v>
      </c>
      <c r="B544" s="23">
        <v>6.2395988241399998</v>
      </c>
      <c r="C544" s="81">
        <v>0</v>
      </c>
      <c r="D544" s="81">
        <v>1</v>
      </c>
      <c r="E544" s="70">
        <v>3</v>
      </c>
      <c r="F544" s="81" t="s">
        <v>451</v>
      </c>
      <c r="G544" s="81" t="s">
        <v>411</v>
      </c>
      <c r="H544" s="81">
        <v>1960</v>
      </c>
      <c r="I544" s="81" t="s">
        <v>412</v>
      </c>
    </row>
    <row r="545" spans="1:9" x14ac:dyDescent="0.3">
      <c r="A545" s="87">
        <v>6.0984610064</v>
      </c>
      <c r="B545" s="23">
        <v>6.2395988241399998</v>
      </c>
      <c r="C545" s="81">
        <v>0</v>
      </c>
      <c r="D545" s="81">
        <v>1</v>
      </c>
      <c r="E545" s="70">
        <v>3</v>
      </c>
      <c r="F545" s="81" t="s">
        <v>451</v>
      </c>
      <c r="G545" s="81" t="s">
        <v>411</v>
      </c>
      <c r="H545" s="81">
        <v>1960</v>
      </c>
      <c r="I545" s="81" t="s">
        <v>412</v>
      </c>
    </row>
    <row r="546" spans="1:9" x14ac:dyDescent="0.3">
      <c r="A546" s="87">
        <v>6.0984610064</v>
      </c>
      <c r="B546" s="23">
        <v>6.2395988241399998</v>
      </c>
      <c r="C546" s="81">
        <v>0</v>
      </c>
      <c r="D546" s="81">
        <v>1</v>
      </c>
      <c r="E546" s="70">
        <v>3</v>
      </c>
      <c r="F546" s="81" t="s">
        <v>451</v>
      </c>
      <c r="G546" s="81" t="s">
        <v>411</v>
      </c>
      <c r="H546" s="81">
        <v>1960</v>
      </c>
      <c r="I546" s="81" t="s">
        <v>412</v>
      </c>
    </row>
    <row r="547" spans="1:9" x14ac:dyDescent="0.3">
      <c r="A547" s="87">
        <v>6.0984610064</v>
      </c>
      <c r="B547" s="23">
        <v>6.2395988241399998</v>
      </c>
      <c r="C547" s="81">
        <v>0</v>
      </c>
      <c r="D547" s="81">
        <v>1</v>
      </c>
      <c r="E547" s="70">
        <v>3</v>
      </c>
      <c r="F547" s="81" t="s">
        <v>451</v>
      </c>
      <c r="G547" s="81" t="s">
        <v>411</v>
      </c>
      <c r="H547" s="81">
        <v>1960</v>
      </c>
      <c r="I547" s="81" t="s">
        <v>412</v>
      </c>
    </row>
    <row r="548" spans="1:9" x14ac:dyDescent="0.3">
      <c r="A548" s="23">
        <v>6.0984610064</v>
      </c>
      <c r="B548" s="23">
        <v>6.2395988241399998</v>
      </c>
      <c r="C548" s="81">
        <v>0</v>
      </c>
      <c r="D548" s="81">
        <v>1</v>
      </c>
      <c r="E548" s="70">
        <v>3</v>
      </c>
      <c r="F548" s="81" t="s">
        <v>451</v>
      </c>
      <c r="G548" s="81" t="s">
        <v>411</v>
      </c>
      <c r="H548" s="81">
        <v>1960</v>
      </c>
      <c r="I548" s="81" t="s">
        <v>412</v>
      </c>
    </row>
    <row r="549" spans="1:9" x14ac:dyDescent="0.3">
      <c r="A549" s="87">
        <v>6.0984610064</v>
      </c>
      <c r="B549" s="23">
        <v>6.2395988241399998</v>
      </c>
      <c r="C549" s="81">
        <v>0</v>
      </c>
      <c r="D549" s="81">
        <v>1</v>
      </c>
      <c r="E549" s="70">
        <v>3</v>
      </c>
      <c r="F549" s="81" t="s">
        <v>451</v>
      </c>
      <c r="G549" s="81" t="s">
        <v>411</v>
      </c>
      <c r="H549" s="81">
        <v>1960</v>
      </c>
      <c r="I549" s="81" t="s">
        <v>412</v>
      </c>
    </row>
    <row r="550" spans="1:9" x14ac:dyDescent="0.3">
      <c r="A550" s="87">
        <v>6.1443022652600003</v>
      </c>
      <c r="B550" s="23">
        <v>5.2423136780200004</v>
      </c>
      <c r="C550" s="81">
        <v>0</v>
      </c>
      <c r="D550" s="81">
        <v>1</v>
      </c>
      <c r="E550" s="70">
        <v>3</v>
      </c>
      <c r="F550" s="81" t="s">
        <v>451</v>
      </c>
      <c r="G550" s="81" t="s">
        <v>411</v>
      </c>
      <c r="H550" s="81">
        <v>1960</v>
      </c>
      <c r="I550" s="81" t="s">
        <v>412</v>
      </c>
    </row>
    <row r="551" spans="1:9" x14ac:dyDescent="0.3">
      <c r="A551" s="87">
        <v>6.1443022652600003</v>
      </c>
      <c r="B551" s="23">
        <v>5.2423136780200004</v>
      </c>
      <c r="C551" s="81">
        <v>0</v>
      </c>
      <c r="D551" s="81">
        <v>1</v>
      </c>
      <c r="E551" s="70">
        <v>3</v>
      </c>
      <c r="F551" s="81" t="s">
        <v>451</v>
      </c>
      <c r="G551" s="81" t="s">
        <v>411</v>
      </c>
      <c r="H551" s="81">
        <v>1960</v>
      </c>
      <c r="I551" s="81" t="s">
        <v>412</v>
      </c>
    </row>
    <row r="552" spans="1:9" x14ac:dyDescent="0.3">
      <c r="A552" s="87">
        <v>7.1142601879100003</v>
      </c>
      <c r="B552" s="23">
        <v>7.2969911810500001</v>
      </c>
      <c r="C552" s="81">
        <v>0</v>
      </c>
      <c r="D552" s="81">
        <v>1</v>
      </c>
      <c r="E552" s="70">
        <v>3</v>
      </c>
      <c r="F552" s="81" t="s">
        <v>451</v>
      </c>
      <c r="G552" s="81" t="s">
        <v>411</v>
      </c>
      <c r="H552" s="81">
        <v>1960</v>
      </c>
      <c r="I552" s="81" t="s">
        <v>412</v>
      </c>
    </row>
    <row r="553" spans="1:9" x14ac:dyDescent="0.3">
      <c r="A553" s="87">
        <v>7.1142601879100003</v>
      </c>
      <c r="B553" s="23">
        <v>7.2969911810500001</v>
      </c>
      <c r="C553" s="81">
        <v>0</v>
      </c>
      <c r="D553" s="81">
        <v>1</v>
      </c>
      <c r="E553" s="70">
        <v>3</v>
      </c>
      <c r="F553" s="81" t="s">
        <v>451</v>
      </c>
      <c r="G553" s="81" t="s">
        <v>411</v>
      </c>
      <c r="H553" s="81">
        <v>1960</v>
      </c>
      <c r="I553" s="81" t="s">
        <v>412</v>
      </c>
    </row>
    <row r="554" spans="1:9" x14ac:dyDescent="0.3">
      <c r="A554" s="87">
        <v>7.1142601879100003</v>
      </c>
      <c r="B554" s="23">
        <v>7.2969911810500001</v>
      </c>
      <c r="C554" s="81">
        <v>0</v>
      </c>
      <c r="D554" s="81">
        <v>1</v>
      </c>
      <c r="E554" s="70">
        <v>3</v>
      </c>
      <c r="F554" s="81" t="s">
        <v>451</v>
      </c>
      <c r="G554" s="81" t="s">
        <v>411</v>
      </c>
      <c r="H554" s="81">
        <v>1960</v>
      </c>
      <c r="I554" s="81" t="s">
        <v>412</v>
      </c>
    </row>
    <row r="555" spans="1:9" x14ac:dyDescent="0.3">
      <c r="A555" s="87">
        <v>7.1345495417600002</v>
      </c>
      <c r="B555" s="23">
        <v>6.2470171191399997</v>
      </c>
      <c r="C555" s="81">
        <v>0</v>
      </c>
      <c r="D555" s="81">
        <v>1</v>
      </c>
      <c r="E555" s="70">
        <v>3</v>
      </c>
      <c r="F555" s="81" t="s">
        <v>451</v>
      </c>
      <c r="G555" s="81" t="s">
        <v>411</v>
      </c>
      <c r="H555" s="81">
        <v>1960</v>
      </c>
      <c r="I555" s="81" t="s">
        <v>412</v>
      </c>
    </row>
    <row r="556" spans="1:9" x14ac:dyDescent="0.3">
      <c r="A556" s="87">
        <v>7.1345495417600002</v>
      </c>
      <c r="B556" s="23">
        <v>6.2470171191399997</v>
      </c>
      <c r="C556" s="81">
        <v>0</v>
      </c>
      <c r="D556" s="81">
        <v>1</v>
      </c>
      <c r="E556" s="70">
        <v>3</v>
      </c>
      <c r="F556" s="81" t="s">
        <v>451</v>
      </c>
      <c r="G556" s="81" t="s">
        <v>411</v>
      </c>
      <c r="H556" s="81">
        <v>1960</v>
      </c>
      <c r="I556" s="81" t="s">
        <v>412</v>
      </c>
    </row>
    <row r="557" spans="1:9" x14ac:dyDescent="0.3">
      <c r="A557" s="87">
        <v>7.1345495417600002</v>
      </c>
      <c r="B557" s="23">
        <v>6.2470171191399997</v>
      </c>
      <c r="C557" s="81">
        <v>0</v>
      </c>
      <c r="D557" s="81">
        <v>1</v>
      </c>
      <c r="E557" s="70">
        <v>3</v>
      </c>
      <c r="F557" s="81" t="s">
        <v>451</v>
      </c>
      <c r="G557" s="81" t="s">
        <v>411</v>
      </c>
      <c r="H557" s="81">
        <v>1960</v>
      </c>
      <c r="I557" s="81" t="s">
        <v>412</v>
      </c>
    </row>
    <row r="558" spans="1:9" x14ac:dyDescent="0.3">
      <c r="A558" s="87">
        <v>8.1503487232699996</v>
      </c>
      <c r="B558" s="23">
        <v>7.30440947605</v>
      </c>
      <c r="C558" s="81">
        <v>0</v>
      </c>
      <c r="D558" s="81">
        <v>1</v>
      </c>
      <c r="E558" s="70">
        <v>3</v>
      </c>
      <c r="F558" s="81" t="s">
        <v>451</v>
      </c>
      <c r="G558" s="81" t="s">
        <v>411</v>
      </c>
      <c r="H558" s="81">
        <v>1960</v>
      </c>
      <c r="I558" s="81" t="s">
        <v>412</v>
      </c>
    </row>
    <row r="559" spans="1:9" x14ac:dyDescent="0.3">
      <c r="A559" s="87">
        <v>8.1982189175200002</v>
      </c>
      <c r="B559" s="23">
        <v>6.2021269237399999</v>
      </c>
      <c r="C559" s="81">
        <v>0</v>
      </c>
      <c r="D559" s="81">
        <v>1</v>
      </c>
      <c r="E559" s="70">
        <v>3</v>
      </c>
      <c r="F559" s="81" t="s">
        <v>451</v>
      </c>
      <c r="G559" s="81" t="s">
        <v>411</v>
      </c>
      <c r="H559" s="81">
        <v>1960</v>
      </c>
      <c r="I559" s="81" t="s">
        <v>412</v>
      </c>
    </row>
    <row r="560" spans="1:9" x14ac:dyDescent="0.3">
      <c r="A560" s="87">
        <v>8.1982189175200002</v>
      </c>
      <c r="B560" s="23">
        <v>6.2021269237399999</v>
      </c>
      <c r="C560" s="81">
        <v>0</v>
      </c>
      <c r="D560" s="81">
        <v>1</v>
      </c>
      <c r="E560" s="70">
        <v>3</v>
      </c>
      <c r="F560" s="81" t="s">
        <v>451</v>
      </c>
      <c r="G560" s="81" t="s">
        <v>411</v>
      </c>
      <c r="H560" s="81">
        <v>1960</v>
      </c>
      <c r="I560" s="81" t="s">
        <v>412</v>
      </c>
    </row>
    <row r="561" spans="1:11" x14ac:dyDescent="0.3">
      <c r="A561" s="87">
        <v>8.1982189175200002</v>
      </c>
      <c r="B561" s="23">
        <v>6.2021269237399999</v>
      </c>
      <c r="C561" s="81">
        <v>0</v>
      </c>
      <c r="D561" s="81">
        <v>1</v>
      </c>
      <c r="E561" s="70">
        <v>3</v>
      </c>
      <c r="F561" s="81" t="s">
        <v>451</v>
      </c>
      <c r="G561" s="81" t="s">
        <v>411</v>
      </c>
      <c r="H561" s="81">
        <v>1960</v>
      </c>
      <c r="I561" s="81" t="s">
        <v>412</v>
      </c>
    </row>
    <row r="562" spans="1:11" x14ac:dyDescent="0.3">
      <c r="A562" s="87">
        <v>8.1982189175200002</v>
      </c>
      <c r="B562" s="23">
        <v>6.2021269237399999</v>
      </c>
      <c r="C562" s="81">
        <v>0</v>
      </c>
      <c r="D562" s="81">
        <v>1</v>
      </c>
      <c r="E562" s="70">
        <v>3</v>
      </c>
      <c r="F562" s="81" t="s">
        <v>451</v>
      </c>
      <c r="G562" s="81" t="s">
        <v>411</v>
      </c>
      <c r="H562" s="81">
        <v>1960</v>
      </c>
      <c r="I562" s="81" t="s">
        <v>412</v>
      </c>
    </row>
    <row r="563" spans="1:11" x14ac:dyDescent="0.3">
      <c r="A563" s="87">
        <v>8.1982189175200002</v>
      </c>
      <c r="B563" s="23">
        <v>6.2021269237399999</v>
      </c>
      <c r="C563" s="81">
        <v>0</v>
      </c>
      <c r="D563" s="81">
        <v>1</v>
      </c>
      <c r="E563" s="70">
        <v>3</v>
      </c>
      <c r="F563" s="81" t="s">
        <v>451</v>
      </c>
      <c r="G563" s="81" t="s">
        <v>411</v>
      </c>
      <c r="H563" s="81">
        <v>1960</v>
      </c>
      <c r="I563" s="81" t="s">
        <v>412</v>
      </c>
    </row>
    <row r="564" spans="1:11" x14ac:dyDescent="0.3">
      <c r="A564" s="87">
        <v>9.1598708859299993</v>
      </c>
      <c r="B564" s="23">
        <v>7.3116375583600002</v>
      </c>
      <c r="C564" s="81">
        <v>0</v>
      </c>
      <c r="D564" s="81">
        <v>1</v>
      </c>
      <c r="E564" s="70">
        <v>3</v>
      </c>
      <c r="F564" s="81" t="s">
        <v>451</v>
      </c>
      <c r="G564" s="81" t="s">
        <v>411</v>
      </c>
      <c r="H564" s="81">
        <v>1960</v>
      </c>
      <c r="I564" s="81" t="s">
        <v>412</v>
      </c>
    </row>
    <row r="565" spans="1:11" x14ac:dyDescent="0.3">
      <c r="A565" s="87">
        <v>10.2173266471</v>
      </c>
      <c r="B565" s="23">
        <v>10.338301919399999</v>
      </c>
      <c r="C565" s="81">
        <v>0</v>
      </c>
      <c r="D565" s="81">
        <v>1</v>
      </c>
      <c r="E565" s="70">
        <v>3</v>
      </c>
      <c r="F565" s="81" t="s">
        <v>451</v>
      </c>
      <c r="G565" s="81" t="s">
        <v>411</v>
      </c>
      <c r="H565" s="81">
        <v>1960</v>
      </c>
      <c r="I565" s="81" t="s">
        <v>412</v>
      </c>
    </row>
    <row r="566" spans="1:11" x14ac:dyDescent="0.3">
      <c r="A566" s="87">
        <v>10.2173266471</v>
      </c>
      <c r="B566" s="23">
        <v>10.338301919399999</v>
      </c>
      <c r="C566" s="81">
        <v>0</v>
      </c>
      <c r="D566" s="81">
        <v>1</v>
      </c>
      <c r="E566" s="70">
        <v>3</v>
      </c>
      <c r="F566" s="81" t="s">
        <v>451</v>
      </c>
      <c r="G566" s="81" t="s">
        <v>411</v>
      </c>
      <c r="H566" s="81">
        <v>1960</v>
      </c>
      <c r="I566" s="81" t="s">
        <v>412</v>
      </c>
    </row>
    <row r="567" spans="1:11" x14ac:dyDescent="0.3">
      <c r="A567" s="87">
        <v>11.1674390455</v>
      </c>
      <c r="B567" s="23">
        <v>9.2949853017499997</v>
      </c>
      <c r="C567" s="81">
        <v>0</v>
      </c>
      <c r="D567" s="81">
        <v>1</v>
      </c>
      <c r="E567" s="70">
        <v>3</v>
      </c>
      <c r="F567" s="81" t="s">
        <v>451</v>
      </c>
      <c r="G567" s="81" t="s">
        <v>411</v>
      </c>
      <c r="H567" s="81">
        <v>1960</v>
      </c>
      <c r="I567" s="81" t="s">
        <v>412</v>
      </c>
    </row>
    <row r="568" spans="1:11" x14ac:dyDescent="0.3">
      <c r="A568" s="87">
        <v>0.96499999999999997</v>
      </c>
      <c r="B568" s="23">
        <v>3.9238071066</v>
      </c>
      <c r="C568" s="81">
        <v>14000</v>
      </c>
      <c r="D568" s="81">
        <v>1</v>
      </c>
      <c r="E568" s="70">
        <v>1</v>
      </c>
      <c r="F568" s="81" t="s">
        <v>97</v>
      </c>
      <c r="G568" s="81" t="s">
        <v>98</v>
      </c>
      <c r="H568" s="81">
        <v>1961</v>
      </c>
      <c r="I568" s="81" t="s">
        <v>99</v>
      </c>
      <c r="K568" s="87"/>
    </row>
    <row r="569" spans="1:11" x14ac:dyDescent="0.3">
      <c r="A569" s="87">
        <v>0.96499999999999997</v>
      </c>
      <c r="B569" s="23">
        <v>4.5177157360400004</v>
      </c>
      <c r="C569" s="81">
        <v>14000</v>
      </c>
      <c r="D569" s="81">
        <v>1</v>
      </c>
      <c r="E569" s="70">
        <v>1</v>
      </c>
      <c r="F569" s="81" t="s">
        <v>97</v>
      </c>
      <c r="G569" s="81" t="s">
        <v>98</v>
      </c>
      <c r="H569" s="81">
        <v>1961</v>
      </c>
      <c r="I569" s="81" t="s">
        <v>99</v>
      </c>
      <c r="K569" s="87"/>
    </row>
    <row r="570" spans="1:11" x14ac:dyDescent="0.3">
      <c r="A570" s="87">
        <v>0.96499999999999997</v>
      </c>
      <c r="B570" s="23">
        <v>6.4821827411199999</v>
      </c>
      <c r="C570" s="81">
        <v>14000</v>
      </c>
      <c r="D570" s="81">
        <v>1</v>
      </c>
      <c r="E570" s="70">
        <v>1</v>
      </c>
      <c r="F570" s="81" t="s">
        <v>97</v>
      </c>
      <c r="G570" s="81" t="s">
        <v>98</v>
      </c>
      <c r="H570" s="81">
        <v>1961</v>
      </c>
      <c r="I570" s="81" t="s">
        <v>99</v>
      </c>
      <c r="K570" s="87"/>
    </row>
    <row r="571" spans="1:11" x14ac:dyDescent="0.3">
      <c r="A571" s="87">
        <v>1.01</v>
      </c>
      <c r="B571" s="23">
        <v>1.9595685279199999</v>
      </c>
      <c r="C571" s="81">
        <v>14000</v>
      </c>
      <c r="D571" s="81">
        <v>1</v>
      </c>
      <c r="E571" s="70">
        <v>1</v>
      </c>
      <c r="F571" s="81" t="s">
        <v>97</v>
      </c>
      <c r="G571" s="81" t="s">
        <v>98</v>
      </c>
      <c r="H571" s="81">
        <v>1961</v>
      </c>
      <c r="I571" s="81" t="s">
        <v>99</v>
      </c>
      <c r="K571" s="87"/>
    </row>
    <row r="572" spans="1:11" x14ac:dyDescent="0.3">
      <c r="A572" s="87">
        <v>1.01</v>
      </c>
      <c r="B572" s="23">
        <v>8.5839340101499992</v>
      </c>
      <c r="C572" s="81">
        <v>14000</v>
      </c>
      <c r="D572" s="81">
        <v>1</v>
      </c>
      <c r="E572" s="70">
        <v>1</v>
      </c>
      <c r="F572" s="81" t="s">
        <v>97</v>
      </c>
      <c r="G572" s="81" t="s">
        <v>98</v>
      </c>
      <c r="H572" s="81">
        <v>1961</v>
      </c>
      <c r="I572" s="81" t="s">
        <v>99</v>
      </c>
      <c r="K572" s="87"/>
    </row>
    <row r="573" spans="1:11" x14ac:dyDescent="0.3">
      <c r="A573" s="87">
        <v>3.53</v>
      </c>
      <c r="B573" s="23">
        <v>4.5307360406099999</v>
      </c>
      <c r="C573" s="81">
        <v>14000</v>
      </c>
      <c r="D573" s="81">
        <v>1</v>
      </c>
      <c r="E573" s="70">
        <v>1</v>
      </c>
      <c r="F573" s="81" t="s">
        <v>97</v>
      </c>
      <c r="G573" s="81" t="s">
        <v>98</v>
      </c>
      <c r="H573" s="81">
        <v>1961</v>
      </c>
      <c r="I573" s="81" t="s">
        <v>99</v>
      </c>
      <c r="K573" s="87"/>
    </row>
    <row r="574" spans="1:11" x14ac:dyDescent="0.3">
      <c r="A574" s="87">
        <v>4.5650000000000004</v>
      </c>
      <c r="B574" s="23">
        <v>3.4395431472100002</v>
      </c>
      <c r="C574" s="81">
        <v>14000</v>
      </c>
      <c r="D574" s="81">
        <v>1</v>
      </c>
      <c r="E574" s="70">
        <v>1</v>
      </c>
      <c r="F574" s="81" t="s">
        <v>97</v>
      </c>
      <c r="G574" s="81" t="s">
        <v>98</v>
      </c>
      <c r="H574" s="81">
        <v>1961</v>
      </c>
      <c r="I574" s="81" t="s">
        <v>99</v>
      </c>
      <c r="K574" s="87"/>
    </row>
    <row r="575" spans="1:11" x14ac:dyDescent="0.3">
      <c r="A575" s="87">
        <v>5.42</v>
      </c>
      <c r="B575" s="23">
        <v>7.0073350253799997</v>
      </c>
      <c r="C575" s="81">
        <v>14000</v>
      </c>
      <c r="D575" s="81">
        <v>1</v>
      </c>
      <c r="E575" s="70">
        <v>1</v>
      </c>
      <c r="F575" s="81" t="s">
        <v>97</v>
      </c>
      <c r="G575" s="81" t="s">
        <v>98</v>
      </c>
      <c r="H575" s="81">
        <v>1961</v>
      </c>
      <c r="I575" s="81" t="s">
        <v>99</v>
      </c>
      <c r="K575" s="87"/>
    </row>
    <row r="576" spans="1:11" x14ac:dyDescent="0.3">
      <c r="A576" s="87">
        <v>5.51</v>
      </c>
      <c r="B576" s="23">
        <v>6.0027157360399999</v>
      </c>
      <c r="C576" s="81">
        <v>14000</v>
      </c>
      <c r="D576" s="81">
        <v>1</v>
      </c>
      <c r="E576" s="70">
        <v>1</v>
      </c>
      <c r="F576" s="81" t="s">
        <v>97</v>
      </c>
      <c r="G576" s="81" t="s">
        <v>98</v>
      </c>
      <c r="H576" s="81">
        <v>1961</v>
      </c>
      <c r="I576" s="81" t="s">
        <v>99</v>
      </c>
      <c r="K576" s="87"/>
    </row>
    <row r="577" spans="1:11" x14ac:dyDescent="0.3">
      <c r="A577" s="87">
        <v>5.915</v>
      </c>
      <c r="B577" s="23">
        <v>6.9184771573599999</v>
      </c>
      <c r="C577" s="81">
        <v>14000</v>
      </c>
      <c r="D577" s="81">
        <v>1</v>
      </c>
      <c r="E577" s="70">
        <v>1</v>
      </c>
      <c r="F577" s="81" t="s">
        <v>97</v>
      </c>
      <c r="G577" s="81" t="s">
        <v>98</v>
      </c>
      <c r="H577" s="81">
        <v>1961</v>
      </c>
      <c r="I577" s="81" t="s">
        <v>99</v>
      </c>
      <c r="K577" s="87"/>
    </row>
    <row r="578" spans="1:11" x14ac:dyDescent="0.3">
      <c r="A578" s="23">
        <v>5.96</v>
      </c>
      <c r="B578" s="23">
        <v>9.0659137055799999</v>
      </c>
      <c r="C578" s="81">
        <v>14000</v>
      </c>
      <c r="D578" s="81">
        <v>1</v>
      </c>
      <c r="E578" s="70">
        <v>1</v>
      </c>
      <c r="F578" s="81" t="s">
        <v>97</v>
      </c>
      <c r="G578" s="81" t="s">
        <v>98</v>
      </c>
      <c r="H578" s="81">
        <v>1961</v>
      </c>
      <c r="I578" s="81" t="s">
        <v>99</v>
      </c>
      <c r="K578" s="87"/>
    </row>
    <row r="579" spans="1:11" x14ac:dyDescent="0.3">
      <c r="A579" s="87">
        <v>6.0949999999999998</v>
      </c>
      <c r="B579" s="23">
        <v>7.14781725888</v>
      </c>
      <c r="C579" s="81">
        <v>14000</v>
      </c>
      <c r="D579" s="81">
        <v>1</v>
      </c>
      <c r="E579" s="70">
        <v>1</v>
      </c>
      <c r="F579" s="81" t="s">
        <v>97</v>
      </c>
      <c r="G579" s="81" t="s">
        <v>98</v>
      </c>
      <c r="H579" s="81">
        <v>1961</v>
      </c>
      <c r="I579" s="81" t="s">
        <v>99</v>
      </c>
      <c r="K579" s="87"/>
    </row>
    <row r="580" spans="1:11" x14ac:dyDescent="0.3">
      <c r="A580" s="87">
        <v>6.5</v>
      </c>
      <c r="B580" s="23">
        <v>8.5661167512700001</v>
      </c>
      <c r="C580" s="81">
        <v>14000</v>
      </c>
      <c r="D580" s="81">
        <v>1</v>
      </c>
      <c r="E580" s="70">
        <v>1</v>
      </c>
      <c r="F580" s="81" t="s">
        <v>97</v>
      </c>
      <c r="G580" s="81" t="s">
        <v>98</v>
      </c>
      <c r="H580" s="81">
        <v>1961</v>
      </c>
      <c r="I580" s="81" t="s">
        <v>99</v>
      </c>
      <c r="K580" s="87"/>
    </row>
    <row r="581" spans="1:11" x14ac:dyDescent="0.3">
      <c r="A581" s="87">
        <v>6.5</v>
      </c>
      <c r="B581" s="23">
        <v>11.078807106599999</v>
      </c>
      <c r="C581" s="81">
        <v>14000</v>
      </c>
      <c r="D581" s="81">
        <v>1</v>
      </c>
      <c r="E581" s="70">
        <v>1</v>
      </c>
      <c r="F581" s="81" t="s">
        <v>97</v>
      </c>
      <c r="G581" s="81" t="s">
        <v>98</v>
      </c>
      <c r="H581" s="81">
        <v>1961</v>
      </c>
      <c r="I581" s="81" t="s">
        <v>99</v>
      </c>
      <c r="K581" s="87"/>
    </row>
    <row r="582" spans="1:11" x14ac:dyDescent="0.3">
      <c r="A582" s="87">
        <v>6.5449999999999999</v>
      </c>
      <c r="B582" s="23">
        <v>6.0079695431499998</v>
      </c>
      <c r="C582" s="81">
        <v>14000</v>
      </c>
      <c r="D582" s="81">
        <v>1</v>
      </c>
      <c r="E582" s="70">
        <v>1</v>
      </c>
      <c r="F582" s="81" t="s">
        <v>97</v>
      </c>
      <c r="G582" s="81" t="s">
        <v>98</v>
      </c>
      <c r="H582" s="81">
        <v>1961</v>
      </c>
      <c r="I582" s="81" t="s">
        <v>99</v>
      </c>
      <c r="K582" s="87"/>
    </row>
    <row r="583" spans="1:11" x14ac:dyDescent="0.3">
      <c r="A583" s="87">
        <v>6.9050000000000002</v>
      </c>
      <c r="B583" s="23">
        <v>7.8828934010199996</v>
      </c>
      <c r="C583" s="81">
        <v>14000</v>
      </c>
      <c r="D583" s="81">
        <v>1</v>
      </c>
      <c r="E583" s="70">
        <v>1</v>
      </c>
      <c r="F583" s="81" t="s">
        <v>97</v>
      </c>
      <c r="G583" s="81" t="s">
        <v>98</v>
      </c>
      <c r="H583" s="81">
        <v>1961</v>
      </c>
      <c r="I583" s="81" t="s">
        <v>99</v>
      </c>
      <c r="K583" s="87"/>
    </row>
    <row r="584" spans="1:11" x14ac:dyDescent="0.3">
      <c r="A584" s="87">
        <v>6.9950000000000001</v>
      </c>
      <c r="B584" s="23">
        <v>7.0610152284299996</v>
      </c>
      <c r="C584" s="81">
        <v>14000</v>
      </c>
      <c r="D584" s="81">
        <v>1</v>
      </c>
      <c r="E584" s="70">
        <v>1</v>
      </c>
      <c r="F584" s="81" t="s">
        <v>97</v>
      </c>
      <c r="G584" s="81" t="s">
        <v>98</v>
      </c>
      <c r="H584" s="81">
        <v>1961</v>
      </c>
      <c r="I584" s="81" t="s">
        <v>99</v>
      </c>
      <c r="K584" s="87"/>
    </row>
    <row r="585" spans="1:11" x14ac:dyDescent="0.3">
      <c r="A585" s="87">
        <v>6.9950000000000001</v>
      </c>
      <c r="B585" s="23">
        <v>7.5178680202999999</v>
      </c>
      <c r="C585" s="81">
        <v>14000</v>
      </c>
      <c r="D585" s="81">
        <v>1</v>
      </c>
      <c r="E585" s="70">
        <v>1</v>
      </c>
      <c r="F585" s="81" t="s">
        <v>97</v>
      </c>
      <c r="G585" s="81" t="s">
        <v>98</v>
      </c>
      <c r="H585" s="81">
        <v>1961</v>
      </c>
      <c r="I585" s="81" t="s">
        <v>99</v>
      </c>
      <c r="K585" s="87"/>
    </row>
    <row r="586" spans="1:11" x14ac:dyDescent="0.3">
      <c r="A586" s="87">
        <v>7.13</v>
      </c>
      <c r="B586" s="23">
        <v>8.1581472081200008</v>
      </c>
      <c r="C586" s="81">
        <v>14000</v>
      </c>
      <c r="D586" s="81">
        <v>1</v>
      </c>
      <c r="E586" s="70">
        <v>1</v>
      </c>
      <c r="F586" s="81" t="s">
        <v>97</v>
      </c>
      <c r="G586" s="81" t="s">
        <v>98</v>
      </c>
      <c r="H586" s="81">
        <v>1961</v>
      </c>
      <c r="I586" s="81" t="s">
        <v>99</v>
      </c>
      <c r="K586" s="87"/>
    </row>
    <row r="587" spans="1:11" x14ac:dyDescent="0.3">
      <c r="A587" s="87">
        <v>7.4450000000000003</v>
      </c>
      <c r="B587" s="23">
        <v>7.5658375634499997</v>
      </c>
      <c r="C587" s="81">
        <v>14000</v>
      </c>
      <c r="D587" s="81">
        <v>1</v>
      </c>
      <c r="E587" s="70">
        <v>1</v>
      </c>
      <c r="F587" s="81" t="s">
        <v>97</v>
      </c>
      <c r="G587" s="81" t="s">
        <v>98</v>
      </c>
      <c r="H587" s="81">
        <v>1961</v>
      </c>
      <c r="I587" s="81" t="s">
        <v>99</v>
      </c>
      <c r="K587" s="87"/>
    </row>
    <row r="588" spans="1:11" x14ac:dyDescent="0.3">
      <c r="A588" s="87">
        <v>7.5350000000000001</v>
      </c>
      <c r="B588" s="23">
        <v>8.0688324873100008</v>
      </c>
      <c r="C588" s="81">
        <v>14000</v>
      </c>
      <c r="D588" s="81">
        <v>1</v>
      </c>
      <c r="E588" s="70">
        <v>1</v>
      </c>
      <c r="F588" s="81" t="s">
        <v>97</v>
      </c>
      <c r="G588" s="81" t="s">
        <v>98</v>
      </c>
      <c r="H588" s="81">
        <v>1961</v>
      </c>
      <c r="I588" s="81" t="s">
        <v>99</v>
      </c>
      <c r="K588" s="87"/>
    </row>
    <row r="589" spans="1:11" x14ac:dyDescent="0.3">
      <c r="A589" s="87">
        <v>8.0299999999999994</v>
      </c>
      <c r="B589" s="23">
        <v>9.0764213197999997</v>
      </c>
      <c r="C589" s="81">
        <v>14000</v>
      </c>
      <c r="D589" s="81">
        <v>1</v>
      </c>
      <c r="E589" s="70">
        <v>1</v>
      </c>
      <c r="F589" s="81" t="s">
        <v>97</v>
      </c>
      <c r="G589" s="81" t="s">
        <v>98</v>
      </c>
      <c r="H589" s="81">
        <v>1961</v>
      </c>
      <c r="I589" s="81" t="s">
        <v>99</v>
      </c>
      <c r="K589" s="87"/>
    </row>
    <row r="590" spans="1:11" x14ac:dyDescent="0.3">
      <c r="A590" s="87">
        <v>8.5250000000000004</v>
      </c>
      <c r="B590" s="23">
        <v>9.5814720812199994</v>
      </c>
      <c r="C590" s="81">
        <v>14000</v>
      </c>
      <c r="D590" s="81">
        <v>1</v>
      </c>
      <c r="E590" s="70">
        <v>1</v>
      </c>
      <c r="F590" s="81" t="s">
        <v>97</v>
      </c>
      <c r="G590" s="81" t="s">
        <v>98</v>
      </c>
      <c r="H590" s="81">
        <v>1961</v>
      </c>
      <c r="I590" s="81" t="s">
        <v>99</v>
      </c>
      <c r="K590" s="87"/>
    </row>
    <row r="591" spans="1:11" x14ac:dyDescent="0.3">
      <c r="A591" s="87">
        <v>8.5250000000000004</v>
      </c>
      <c r="B591" s="23">
        <v>10.084010152299999</v>
      </c>
      <c r="C591" s="81">
        <v>14000</v>
      </c>
      <c r="D591" s="81">
        <v>1</v>
      </c>
      <c r="E591" s="70">
        <v>1</v>
      </c>
      <c r="F591" s="81" t="s">
        <v>97</v>
      </c>
      <c r="G591" s="81" t="s">
        <v>98</v>
      </c>
      <c r="H591" s="81">
        <v>1961</v>
      </c>
      <c r="I591" s="81" t="s">
        <v>99</v>
      </c>
      <c r="K591" s="87"/>
    </row>
    <row r="592" spans="1:11" x14ac:dyDescent="0.3">
      <c r="A592" s="87">
        <v>9.4250000000000007</v>
      </c>
      <c r="B592" s="23">
        <v>8.9464467005100001</v>
      </c>
      <c r="C592" s="81">
        <v>14000</v>
      </c>
      <c r="D592" s="81">
        <v>1</v>
      </c>
      <c r="E592" s="70">
        <v>1</v>
      </c>
      <c r="F592" s="81" t="s">
        <v>97</v>
      </c>
      <c r="G592" s="81" t="s">
        <v>98</v>
      </c>
      <c r="H592" s="81">
        <v>1961</v>
      </c>
      <c r="I592" s="81" t="s">
        <v>99</v>
      </c>
      <c r="K592" s="87"/>
    </row>
    <row r="593" spans="1:11" x14ac:dyDescent="0.3">
      <c r="A593" s="87">
        <v>9.5150000000000006</v>
      </c>
      <c r="B593" s="23">
        <v>9.5408121827399999</v>
      </c>
      <c r="C593" s="81">
        <v>14000</v>
      </c>
      <c r="D593" s="81">
        <v>1</v>
      </c>
      <c r="E593" s="70">
        <v>1</v>
      </c>
      <c r="F593" s="81" t="s">
        <v>97</v>
      </c>
      <c r="G593" s="81" t="s">
        <v>98</v>
      </c>
      <c r="H593" s="81">
        <v>1961</v>
      </c>
      <c r="I593" s="81" t="s">
        <v>99</v>
      </c>
      <c r="K593" s="87"/>
    </row>
    <row r="594" spans="1:11" x14ac:dyDescent="0.3">
      <c r="A594" s="87">
        <v>9.56</v>
      </c>
      <c r="B594" s="23">
        <v>11.0486548223</v>
      </c>
      <c r="C594" s="81">
        <v>14000</v>
      </c>
      <c r="D594" s="81">
        <v>1</v>
      </c>
      <c r="E594" s="70">
        <v>1</v>
      </c>
      <c r="F594" s="81" t="s">
        <v>97</v>
      </c>
      <c r="G594" s="81" t="s">
        <v>98</v>
      </c>
      <c r="H594" s="81">
        <v>1961</v>
      </c>
      <c r="I594" s="81" t="s">
        <v>99</v>
      </c>
      <c r="K594" s="87"/>
    </row>
    <row r="595" spans="1:11" x14ac:dyDescent="0.3">
      <c r="A595" s="87">
        <v>9.65</v>
      </c>
      <c r="B595" s="23">
        <v>9.1760152284299998</v>
      </c>
      <c r="C595" s="81">
        <v>14000</v>
      </c>
      <c r="D595" s="81">
        <v>1</v>
      </c>
      <c r="E595" s="70">
        <v>1</v>
      </c>
      <c r="F595" s="81" t="s">
        <v>97</v>
      </c>
      <c r="G595" s="81" t="s">
        <v>98</v>
      </c>
      <c r="H595" s="81">
        <v>1961</v>
      </c>
      <c r="I595" s="81" t="s">
        <v>99</v>
      </c>
      <c r="K595" s="87"/>
    </row>
    <row r="596" spans="1:11" x14ac:dyDescent="0.3">
      <c r="A596" s="87">
        <v>10.324999999999999</v>
      </c>
      <c r="B596" s="23">
        <v>10.55</v>
      </c>
      <c r="C596" s="81">
        <v>14000</v>
      </c>
      <c r="D596" s="81">
        <v>1</v>
      </c>
      <c r="E596" s="70">
        <v>1</v>
      </c>
      <c r="F596" s="81" t="s">
        <v>97</v>
      </c>
      <c r="G596" s="81" t="s">
        <v>98</v>
      </c>
      <c r="H596" s="81">
        <v>1961</v>
      </c>
      <c r="I596" s="81" t="s">
        <v>99</v>
      </c>
      <c r="K596" s="87"/>
    </row>
    <row r="597" spans="1:11" x14ac:dyDescent="0.3">
      <c r="A597" s="87">
        <v>10.505000000000001</v>
      </c>
      <c r="B597" s="23">
        <v>10.3681725888</v>
      </c>
      <c r="C597" s="81">
        <v>14000</v>
      </c>
      <c r="D597" s="81">
        <v>1</v>
      </c>
      <c r="E597" s="70">
        <v>1</v>
      </c>
      <c r="F597" s="81" t="s">
        <v>97</v>
      </c>
      <c r="G597" s="81" t="s">
        <v>98</v>
      </c>
      <c r="H597" s="81">
        <v>1961</v>
      </c>
      <c r="I597" s="81" t="s">
        <v>99</v>
      </c>
      <c r="K597" s="87"/>
    </row>
    <row r="598" spans="1:11" x14ac:dyDescent="0.3">
      <c r="A598" s="87">
        <v>10.64</v>
      </c>
      <c r="B598" s="23">
        <v>10.7800253807</v>
      </c>
      <c r="C598" s="81">
        <v>14000</v>
      </c>
      <c r="D598" s="81">
        <v>1</v>
      </c>
      <c r="E598" s="70">
        <v>1</v>
      </c>
      <c r="F598" s="81" t="s">
        <v>97</v>
      </c>
      <c r="G598" s="81" t="s">
        <v>98</v>
      </c>
      <c r="H598" s="81">
        <v>1961</v>
      </c>
      <c r="I598" s="81" t="s">
        <v>99</v>
      </c>
      <c r="K598" s="87"/>
    </row>
    <row r="599" spans="1:11" x14ac:dyDescent="0.3">
      <c r="A599" s="87">
        <v>10.82</v>
      </c>
      <c r="B599" s="23">
        <v>10.963680202999999</v>
      </c>
      <c r="C599" s="81">
        <v>14000</v>
      </c>
      <c r="D599" s="81">
        <v>1</v>
      </c>
      <c r="E599" s="70">
        <v>1</v>
      </c>
      <c r="F599" s="81" t="s">
        <v>97</v>
      </c>
      <c r="G599" s="81" t="s">
        <v>98</v>
      </c>
      <c r="H599" s="81">
        <v>1961</v>
      </c>
      <c r="I599" s="81" t="s">
        <v>99</v>
      </c>
      <c r="K599" s="87"/>
    </row>
    <row r="600" spans="1:11" x14ac:dyDescent="0.3">
      <c r="A600" s="87">
        <v>11</v>
      </c>
      <c r="B600" s="23">
        <v>11.1473350254</v>
      </c>
      <c r="C600" s="81">
        <v>14000</v>
      </c>
      <c r="D600" s="81">
        <v>1</v>
      </c>
      <c r="E600" s="70">
        <v>1</v>
      </c>
      <c r="F600" s="81" t="s">
        <v>97</v>
      </c>
      <c r="G600" s="81" t="s">
        <v>98</v>
      </c>
      <c r="H600" s="81">
        <v>1961</v>
      </c>
      <c r="I600" s="81" t="s">
        <v>99</v>
      </c>
      <c r="K600" s="87"/>
    </row>
    <row r="601" spans="1:11" x14ac:dyDescent="0.3">
      <c r="A601" s="87">
        <v>0.77889447236200005</v>
      </c>
      <c r="B601" s="23">
        <v>9.3718592964800003</v>
      </c>
      <c r="C601" s="81">
        <v>14147</v>
      </c>
      <c r="D601" s="81">
        <v>1</v>
      </c>
      <c r="E601" s="70">
        <v>2</v>
      </c>
      <c r="F601" s="81" t="s">
        <v>97</v>
      </c>
      <c r="G601" s="81" t="s">
        <v>98</v>
      </c>
      <c r="H601" s="81">
        <v>1961</v>
      </c>
      <c r="I601" s="81" t="s">
        <v>99</v>
      </c>
      <c r="K601" s="87"/>
    </row>
    <row r="602" spans="1:11" x14ac:dyDescent="0.3">
      <c r="A602" s="87">
        <v>0.86934673366799997</v>
      </c>
      <c r="B602" s="23">
        <v>0.82412060301500001</v>
      </c>
      <c r="C602" s="81">
        <v>14147</v>
      </c>
      <c r="D602" s="81">
        <v>1</v>
      </c>
      <c r="E602" s="70">
        <v>2</v>
      </c>
      <c r="F602" s="81" t="s">
        <v>97</v>
      </c>
      <c r="G602" s="81" t="s">
        <v>98</v>
      </c>
      <c r="H602" s="81">
        <v>1961</v>
      </c>
      <c r="I602" s="81" t="s">
        <v>99</v>
      </c>
      <c r="K602" s="87"/>
    </row>
    <row r="603" spans="1:11" x14ac:dyDescent="0.3">
      <c r="A603" s="87">
        <v>0.86934673366799997</v>
      </c>
      <c r="B603" s="23">
        <v>9.9597989949700008</v>
      </c>
      <c r="C603" s="81">
        <v>14147</v>
      </c>
      <c r="D603" s="81">
        <v>1</v>
      </c>
      <c r="E603" s="70">
        <v>2</v>
      </c>
      <c r="F603" s="81" t="s">
        <v>97</v>
      </c>
      <c r="G603" s="81" t="s">
        <v>98</v>
      </c>
      <c r="H603" s="81">
        <v>1961</v>
      </c>
      <c r="I603" s="81" t="s">
        <v>99</v>
      </c>
      <c r="K603" s="87"/>
    </row>
    <row r="604" spans="1:11" x14ac:dyDescent="0.3">
      <c r="A604" s="87">
        <v>0.91457286432200002</v>
      </c>
      <c r="B604" s="23">
        <v>5.43718592965</v>
      </c>
      <c r="C604" s="81">
        <v>14147</v>
      </c>
      <c r="D604" s="81">
        <v>1</v>
      </c>
      <c r="E604" s="70">
        <v>2</v>
      </c>
      <c r="F604" s="81" t="s">
        <v>97</v>
      </c>
      <c r="G604" s="81" t="s">
        <v>98</v>
      </c>
      <c r="H604" s="81">
        <v>1961</v>
      </c>
      <c r="I604" s="81" t="s">
        <v>99</v>
      </c>
      <c r="K604" s="87"/>
    </row>
    <row r="605" spans="1:11" x14ac:dyDescent="0.3">
      <c r="A605" s="87">
        <v>0.91457286432200002</v>
      </c>
      <c r="B605" s="23">
        <v>6.5226130653299998</v>
      </c>
      <c r="C605" s="81">
        <v>14147</v>
      </c>
      <c r="D605" s="81">
        <v>1</v>
      </c>
      <c r="E605" s="70">
        <v>2</v>
      </c>
      <c r="F605" s="81" t="s">
        <v>97</v>
      </c>
      <c r="G605" s="81" t="s">
        <v>98</v>
      </c>
      <c r="H605" s="81">
        <v>1961</v>
      </c>
      <c r="I605" s="81" t="s">
        <v>99</v>
      </c>
      <c r="K605" s="87"/>
    </row>
    <row r="606" spans="1:11" x14ac:dyDescent="0.3">
      <c r="A606" s="87">
        <v>1.0502512562799999</v>
      </c>
      <c r="B606" s="23">
        <v>1.0954773869300001</v>
      </c>
      <c r="C606" s="81">
        <v>14147</v>
      </c>
      <c r="D606" s="81">
        <v>1</v>
      </c>
      <c r="E606" s="70">
        <v>2</v>
      </c>
      <c r="F606" s="81" t="s">
        <v>97</v>
      </c>
      <c r="G606" s="81" t="s">
        <v>98</v>
      </c>
      <c r="H606" s="81">
        <v>1961</v>
      </c>
      <c r="I606" s="81" t="s">
        <v>99</v>
      </c>
      <c r="K606" s="87"/>
    </row>
    <row r="607" spans="1:11" x14ac:dyDescent="0.3">
      <c r="A607" s="87">
        <v>1.0502512562799999</v>
      </c>
      <c r="B607" s="23">
        <v>9.5979899497499996</v>
      </c>
      <c r="C607" s="81">
        <v>14147</v>
      </c>
      <c r="D607" s="81">
        <v>1</v>
      </c>
      <c r="E607" s="70">
        <v>2</v>
      </c>
      <c r="F607" s="81" t="s">
        <v>97</v>
      </c>
      <c r="G607" s="81" t="s">
        <v>98</v>
      </c>
      <c r="H607" s="81">
        <v>1961</v>
      </c>
      <c r="I607" s="81" t="s">
        <v>99</v>
      </c>
      <c r="K607" s="87"/>
    </row>
    <row r="608" spans="1:11" x14ac:dyDescent="0.3">
      <c r="A608" s="87">
        <v>3.4472361809000001</v>
      </c>
      <c r="B608" s="23">
        <v>8.0150753768800005</v>
      </c>
      <c r="C608" s="81">
        <v>14147</v>
      </c>
      <c r="D608" s="81">
        <v>1</v>
      </c>
      <c r="E608" s="70">
        <v>2</v>
      </c>
      <c r="F608" s="81" t="s">
        <v>97</v>
      </c>
      <c r="G608" s="81" t="s">
        <v>98</v>
      </c>
      <c r="H608" s="81">
        <v>1961</v>
      </c>
      <c r="I608" s="81" t="s">
        <v>99</v>
      </c>
      <c r="K608" s="87"/>
    </row>
    <row r="609" spans="1:11" x14ac:dyDescent="0.3">
      <c r="A609" s="87">
        <v>4.9396984924599998</v>
      </c>
      <c r="B609" s="23">
        <v>6.9296482412099998</v>
      </c>
      <c r="C609" s="81">
        <v>14147</v>
      </c>
      <c r="D609" s="81">
        <v>1</v>
      </c>
      <c r="E609" s="70">
        <v>2</v>
      </c>
      <c r="F609" s="81" t="s">
        <v>97</v>
      </c>
      <c r="G609" s="81" t="s">
        <v>98</v>
      </c>
      <c r="H609" s="81">
        <v>1961</v>
      </c>
      <c r="I609" s="81" t="s">
        <v>99</v>
      </c>
      <c r="K609" s="87"/>
    </row>
    <row r="610" spans="1:11" x14ac:dyDescent="0.3">
      <c r="A610" s="87">
        <v>5.0301507537700001</v>
      </c>
      <c r="B610" s="23">
        <v>5.0301507537700001</v>
      </c>
      <c r="C610" s="81">
        <v>14147</v>
      </c>
      <c r="D610" s="81">
        <v>1</v>
      </c>
      <c r="E610" s="70">
        <v>2</v>
      </c>
      <c r="F610" s="81" t="s">
        <v>97</v>
      </c>
      <c r="G610" s="81" t="s">
        <v>98</v>
      </c>
      <c r="H610" s="81">
        <v>1961</v>
      </c>
      <c r="I610" s="81" t="s">
        <v>99</v>
      </c>
      <c r="K610" s="87"/>
    </row>
    <row r="611" spans="1:11" x14ac:dyDescent="0.3">
      <c r="A611" s="87">
        <v>5.3467336683399997</v>
      </c>
      <c r="B611" s="23">
        <v>7.8341708542699999</v>
      </c>
      <c r="C611" s="81">
        <v>14147</v>
      </c>
      <c r="D611" s="81">
        <v>1</v>
      </c>
      <c r="E611" s="70">
        <v>2</v>
      </c>
      <c r="F611" s="81" t="s">
        <v>97</v>
      </c>
      <c r="G611" s="81" t="s">
        <v>98</v>
      </c>
      <c r="H611" s="81">
        <v>1961</v>
      </c>
      <c r="I611" s="81" t="s">
        <v>99</v>
      </c>
      <c r="K611" s="87"/>
    </row>
    <row r="612" spans="1:11" x14ac:dyDescent="0.3">
      <c r="A612" s="87">
        <v>5.5276381909500003</v>
      </c>
      <c r="B612" s="23">
        <v>8.1055276381900008</v>
      </c>
      <c r="C612" s="81">
        <v>14147</v>
      </c>
      <c r="D612" s="81">
        <v>1</v>
      </c>
      <c r="E612" s="70">
        <v>2</v>
      </c>
      <c r="F612" s="81" t="s">
        <v>97</v>
      </c>
      <c r="G612" s="81" t="s">
        <v>98</v>
      </c>
      <c r="H612" s="81">
        <v>1961</v>
      </c>
      <c r="I612" s="81" t="s">
        <v>99</v>
      </c>
      <c r="K612" s="87"/>
    </row>
    <row r="613" spans="1:11" x14ac:dyDescent="0.3">
      <c r="A613" s="87">
        <v>6.4321608040199996</v>
      </c>
      <c r="B613" s="23">
        <v>10.9547738693</v>
      </c>
      <c r="C613" s="81">
        <v>14147</v>
      </c>
      <c r="D613" s="81">
        <v>1</v>
      </c>
      <c r="E613" s="70">
        <v>2</v>
      </c>
      <c r="F613" s="81" t="s">
        <v>97</v>
      </c>
      <c r="G613" s="81" t="s">
        <v>98</v>
      </c>
      <c r="H613" s="81">
        <v>1961</v>
      </c>
      <c r="I613" s="81" t="s">
        <v>99</v>
      </c>
      <c r="K613" s="87"/>
    </row>
    <row r="614" spans="1:11" x14ac:dyDescent="0.3">
      <c r="A614" s="23">
        <v>7.0201005025100001</v>
      </c>
      <c r="B614" s="23">
        <v>6.8844221105500001</v>
      </c>
      <c r="C614" s="81">
        <v>14147</v>
      </c>
      <c r="D614" s="81">
        <v>1</v>
      </c>
      <c r="E614" s="70">
        <v>2</v>
      </c>
      <c r="F614" s="81" t="s">
        <v>97</v>
      </c>
      <c r="G614" s="81" t="s">
        <v>98</v>
      </c>
      <c r="H614" s="81">
        <v>1961</v>
      </c>
      <c r="I614" s="81" t="s">
        <v>99</v>
      </c>
      <c r="K614" s="87"/>
    </row>
    <row r="615" spans="1:11" x14ac:dyDescent="0.3">
      <c r="A615" s="87">
        <v>7.0201005025100001</v>
      </c>
      <c r="B615" s="23">
        <v>9.0100502512599991</v>
      </c>
      <c r="C615" s="81">
        <v>14147</v>
      </c>
      <c r="D615" s="81">
        <v>1</v>
      </c>
      <c r="E615" s="70">
        <v>2</v>
      </c>
      <c r="F615" s="81" t="s">
        <v>97</v>
      </c>
      <c r="G615" s="81" t="s">
        <v>98</v>
      </c>
      <c r="H615" s="81">
        <v>1961</v>
      </c>
      <c r="I615" s="81" t="s">
        <v>99</v>
      </c>
      <c r="K615" s="87"/>
    </row>
    <row r="616" spans="1:11" x14ac:dyDescent="0.3">
      <c r="A616" s="87">
        <v>7.42713567839</v>
      </c>
      <c r="B616" s="23">
        <v>7.4723618090499997</v>
      </c>
      <c r="C616" s="81">
        <v>14147</v>
      </c>
      <c r="D616" s="81">
        <v>1</v>
      </c>
      <c r="E616" s="70">
        <v>2</v>
      </c>
      <c r="F616" s="81" t="s">
        <v>97</v>
      </c>
      <c r="G616" s="81" t="s">
        <v>98</v>
      </c>
      <c r="H616" s="81">
        <v>1961</v>
      </c>
      <c r="I616" s="81" t="s">
        <v>99</v>
      </c>
      <c r="K616" s="87"/>
    </row>
    <row r="617" spans="1:11" x14ac:dyDescent="0.3">
      <c r="A617" s="87">
        <v>7.42713567839</v>
      </c>
      <c r="B617" s="23">
        <v>10.4572864322</v>
      </c>
      <c r="C617" s="81">
        <v>14147</v>
      </c>
      <c r="D617" s="81">
        <v>1</v>
      </c>
      <c r="E617" s="70">
        <v>2</v>
      </c>
      <c r="F617" s="81" t="s">
        <v>97</v>
      </c>
      <c r="G617" s="81" t="s">
        <v>98</v>
      </c>
      <c r="H617" s="81">
        <v>1961</v>
      </c>
      <c r="I617" s="81" t="s">
        <v>99</v>
      </c>
      <c r="K617" s="87"/>
    </row>
    <row r="618" spans="1:11" x14ac:dyDescent="0.3">
      <c r="A618" s="87">
        <v>8.0150753768800005</v>
      </c>
      <c r="B618" s="23">
        <v>8.0603015075400002</v>
      </c>
      <c r="C618" s="81">
        <v>14147</v>
      </c>
      <c r="D618" s="81">
        <v>1</v>
      </c>
      <c r="E618" s="70">
        <v>2</v>
      </c>
      <c r="F618" s="81" t="s">
        <v>97</v>
      </c>
      <c r="G618" s="81" t="s">
        <v>98</v>
      </c>
      <c r="H618" s="81">
        <v>1961</v>
      </c>
      <c r="I618" s="81" t="s">
        <v>99</v>
      </c>
      <c r="K618" s="87"/>
    </row>
    <row r="619" spans="1:11" x14ac:dyDescent="0.3">
      <c r="A619" s="87">
        <v>8.4221105527599995</v>
      </c>
      <c r="B619" s="23">
        <v>7.4723618090499997</v>
      </c>
      <c r="C619" s="81">
        <v>14147</v>
      </c>
      <c r="D619" s="81">
        <v>1</v>
      </c>
      <c r="E619" s="70">
        <v>2</v>
      </c>
      <c r="F619" s="81" t="s">
        <v>97</v>
      </c>
      <c r="G619" s="81" t="s">
        <v>98</v>
      </c>
      <c r="H619" s="81">
        <v>1961</v>
      </c>
      <c r="I619" s="81" t="s">
        <v>99</v>
      </c>
      <c r="K619" s="87"/>
    </row>
    <row r="620" spans="1:11" x14ac:dyDescent="0.3">
      <c r="A620" s="87">
        <v>8.4673366834199992</v>
      </c>
      <c r="B620" s="23">
        <v>9.9597989949700008</v>
      </c>
      <c r="C620" s="81">
        <v>14147</v>
      </c>
      <c r="D620" s="81">
        <v>1</v>
      </c>
      <c r="E620" s="70">
        <v>2</v>
      </c>
      <c r="F620" s="81" t="s">
        <v>97</v>
      </c>
      <c r="G620" s="81" t="s">
        <v>98</v>
      </c>
      <c r="H620" s="81">
        <v>1961</v>
      </c>
      <c r="I620" s="81" t="s">
        <v>99</v>
      </c>
      <c r="K620" s="87"/>
    </row>
    <row r="621" spans="1:11" x14ac:dyDescent="0.3">
      <c r="A621" s="87">
        <v>8.5125628140699998</v>
      </c>
      <c r="B621" s="23">
        <v>8.5125628140699998</v>
      </c>
      <c r="C621" s="81">
        <v>14147</v>
      </c>
      <c r="D621" s="81">
        <v>1</v>
      </c>
      <c r="E621" s="70">
        <v>2</v>
      </c>
      <c r="F621" s="81" t="s">
        <v>97</v>
      </c>
      <c r="G621" s="81" t="s">
        <v>98</v>
      </c>
      <c r="H621" s="81">
        <v>1961</v>
      </c>
      <c r="I621" s="81" t="s">
        <v>99</v>
      </c>
      <c r="K621" s="87"/>
    </row>
    <row r="622" spans="1:11" x14ac:dyDescent="0.3">
      <c r="A622" s="87">
        <v>8.9195979899500006</v>
      </c>
      <c r="B622" s="23">
        <v>9.9145728643200002</v>
      </c>
      <c r="C622" s="81">
        <v>14147</v>
      </c>
      <c r="D622" s="81">
        <v>1</v>
      </c>
      <c r="E622" s="70">
        <v>2</v>
      </c>
      <c r="F622" s="81" t="s">
        <v>97</v>
      </c>
      <c r="G622" s="81" t="s">
        <v>98</v>
      </c>
      <c r="H622" s="81">
        <v>1961</v>
      </c>
      <c r="I622" s="81" t="s">
        <v>99</v>
      </c>
      <c r="K622" s="87"/>
    </row>
    <row r="623" spans="1:11" x14ac:dyDescent="0.3">
      <c r="A623" s="87">
        <v>9.0100502512599991</v>
      </c>
      <c r="B623" s="23">
        <v>9.0100502512599991</v>
      </c>
      <c r="C623" s="81">
        <v>14147</v>
      </c>
      <c r="D623" s="81">
        <v>1</v>
      </c>
      <c r="E623" s="70">
        <v>2</v>
      </c>
      <c r="F623" s="81" t="s">
        <v>97</v>
      </c>
      <c r="G623" s="81" t="s">
        <v>98</v>
      </c>
      <c r="H623" s="81">
        <v>1961</v>
      </c>
      <c r="I623" s="81" t="s">
        <v>99</v>
      </c>
      <c r="K623" s="87"/>
    </row>
    <row r="624" spans="1:11" x14ac:dyDescent="0.3">
      <c r="A624" s="87">
        <v>9.41708542714</v>
      </c>
      <c r="B624" s="23">
        <v>9.3718592964800003</v>
      </c>
      <c r="C624" s="81">
        <v>14147</v>
      </c>
      <c r="D624" s="81">
        <v>1</v>
      </c>
      <c r="E624" s="70">
        <v>2</v>
      </c>
      <c r="F624" s="81" t="s">
        <v>97</v>
      </c>
      <c r="G624" s="81" t="s">
        <v>98</v>
      </c>
      <c r="H624" s="81">
        <v>1961</v>
      </c>
      <c r="I624" s="81" t="s">
        <v>99</v>
      </c>
      <c r="K624" s="87"/>
    </row>
    <row r="625" spans="1:11" x14ac:dyDescent="0.3">
      <c r="A625" s="87">
        <v>9.5075376884399994</v>
      </c>
      <c r="B625" s="23">
        <v>10.5025125628</v>
      </c>
      <c r="C625" s="81">
        <v>14147</v>
      </c>
      <c r="D625" s="81">
        <v>1</v>
      </c>
      <c r="E625" s="70">
        <v>2</v>
      </c>
      <c r="F625" s="81" t="s">
        <v>97</v>
      </c>
      <c r="G625" s="81" t="s">
        <v>98</v>
      </c>
      <c r="H625" s="81">
        <v>1961</v>
      </c>
      <c r="I625" s="81" t="s">
        <v>99</v>
      </c>
      <c r="K625" s="87"/>
    </row>
    <row r="626" spans="1:11" x14ac:dyDescent="0.3">
      <c r="A626" s="87">
        <v>9.5979899497499996</v>
      </c>
      <c r="B626" s="23">
        <v>9.6432160804000002</v>
      </c>
      <c r="C626" s="81">
        <v>14147</v>
      </c>
      <c r="D626" s="81">
        <v>1</v>
      </c>
      <c r="E626" s="70">
        <v>2</v>
      </c>
      <c r="F626" s="81" t="s">
        <v>97</v>
      </c>
      <c r="G626" s="81" t="s">
        <v>98</v>
      </c>
      <c r="H626" s="81">
        <v>1961</v>
      </c>
      <c r="I626" s="81" t="s">
        <v>99</v>
      </c>
      <c r="K626" s="87"/>
    </row>
    <row r="627" spans="1:11" x14ac:dyDescent="0.3">
      <c r="A627" s="87">
        <v>10.0050251256</v>
      </c>
      <c r="B627" s="23">
        <v>10.0050251256</v>
      </c>
      <c r="C627" s="81">
        <v>14147</v>
      </c>
      <c r="D627" s="81">
        <v>1</v>
      </c>
      <c r="E627" s="70">
        <v>2</v>
      </c>
      <c r="F627" s="81" t="s">
        <v>97</v>
      </c>
      <c r="G627" s="81" t="s">
        <v>98</v>
      </c>
      <c r="H627" s="81">
        <v>1961</v>
      </c>
      <c r="I627" s="81" t="s">
        <v>99</v>
      </c>
      <c r="K627" s="87"/>
    </row>
    <row r="628" spans="1:11" x14ac:dyDescent="0.3">
      <c r="A628" s="87">
        <v>10.6834170854</v>
      </c>
      <c r="B628" s="23">
        <v>10.9547738693</v>
      </c>
      <c r="C628" s="81">
        <v>14147</v>
      </c>
      <c r="D628" s="81">
        <v>1</v>
      </c>
      <c r="E628" s="70">
        <v>2</v>
      </c>
      <c r="F628" s="81" t="s">
        <v>97</v>
      </c>
      <c r="G628" s="81" t="s">
        <v>98</v>
      </c>
      <c r="H628" s="81">
        <v>1961</v>
      </c>
      <c r="I628" s="81" t="s">
        <v>99</v>
      </c>
      <c r="K628" s="87"/>
    </row>
    <row r="629" spans="1:11" x14ac:dyDescent="0.3">
      <c r="A629" s="23">
        <v>10.909547738700001</v>
      </c>
      <c r="B629" s="23">
        <v>11.135678392000001</v>
      </c>
      <c r="C629" s="81">
        <v>14147</v>
      </c>
      <c r="D629" s="81">
        <v>1</v>
      </c>
      <c r="E629" s="70">
        <v>2</v>
      </c>
      <c r="F629" s="81" t="s">
        <v>97</v>
      </c>
      <c r="G629" s="81" t="s">
        <v>98</v>
      </c>
      <c r="H629" s="81">
        <v>1961</v>
      </c>
      <c r="I629" s="81" t="s">
        <v>99</v>
      </c>
      <c r="K629" s="87"/>
    </row>
    <row r="630" spans="1:11" x14ac:dyDescent="0.3">
      <c r="A630" s="23">
        <v>11</v>
      </c>
      <c r="B630" s="23">
        <v>10.4120603015</v>
      </c>
      <c r="C630" s="81">
        <v>14147</v>
      </c>
      <c r="D630" s="81">
        <v>1</v>
      </c>
      <c r="E630" s="70">
        <v>2</v>
      </c>
      <c r="F630" s="81" t="s">
        <v>97</v>
      </c>
      <c r="G630" s="81" t="s">
        <v>98</v>
      </c>
      <c r="H630" s="81">
        <v>1961</v>
      </c>
      <c r="I630" s="81" t="s">
        <v>99</v>
      </c>
      <c r="K630" s="87"/>
    </row>
    <row r="631" spans="1:11" x14ac:dyDescent="0.3">
      <c r="A631" s="23">
        <v>11</v>
      </c>
      <c r="B631" s="23">
        <v>10.6834170854</v>
      </c>
      <c r="C631" s="81">
        <v>14147</v>
      </c>
      <c r="D631" s="81">
        <v>1</v>
      </c>
      <c r="E631" s="70">
        <v>2</v>
      </c>
      <c r="F631" s="81" t="s">
        <v>97</v>
      </c>
      <c r="G631" s="81" t="s">
        <v>98</v>
      </c>
      <c r="H631" s="81">
        <v>1961</v>
      </c>
      <c r="I631" s="81" t="s">
        <v>99</v>
      </c>
      <c r="K631" s="87"/>
    </row>
    <row r="632" spans="1:11" x14ac:dyDescent="0.3">
      <c r="A632" s="23">
        <v>11.2261306533</v>
      </c>
      <c r="B632" s="23">
        <v>10.909547738700001</v>
      </c>
      <c r="C632" s="81">
        <v>14147</v>
      </c>
      <c r="D632" s="81">
        <v>1</v>
      </c>
      <c r="E632" s="70">
        <v>2</v>
      </c>
      <c r="F632" s="81" t="s">
        <v>97</v>
      </c>
      <c r="G632" s="81" t="s">
        <v>98</v>
      </c>
      <c r="H632" s="81">
        <v>1961</v>
      </c>
      <c r="I632" s="81" t="s">
        <v>99</v>
      </c>
      <c r="K632" s="87"/>
    </row>
    <row r="633" spans="1:11" x14ac:dyDescent="0.3">
      <c r="A633" s="23">
        <v>11.2713567839</v>
      </c>
      <c r="B633" s="23">
        <v>11.135678392000001</v>
      </c>
      <c r="C633" s="81">
        <v>14147</v>
      </c>
      <c r="D633" s="81">
        <v>1</v>
      </c>
      <c r="E633" s="4">
        <v>2</v>
      </c>
      <c r="F633" s="81" t="s">
        <v>97</v>
      </c>
      <c r="G633" s="81" t="s">
        <v>98</v>
      </c>
      <c r="H633" s="81">
        <v>1961</v>
      </c>
      <c r="I633" s="81" t="s">
        <v>99</v>
      </c>
      <c r="K633" s="87"/>
    </row>
    <row r="634" spans="1:11" x14ac:dyDescent="0.3">
      <c r="A634" s="23">
        <v>0</v>
      </c>
      <c r="B634" s="23">
        <v>3.9545454545499998</v>
      </c>
      <c r="C634" s="81">
        <v>14119</v>
      </c>
      <c r="D634" s="81">
        <v>1</v>
      </c>
      <c r="E634" s="70">
        <v>3</v>
      </c>
      <c r="F634" s="81" t="s">
        <v>97</v>
      </c>
      <c r="G634" s="81" t="s">
        <v>98</v>
      </c>
      <c r="H634" s="81">
        <v>1961</v>
      </c>
      <c r="I634" s="81" t="s">
        <v>99</v>
      </c>
      <c r="K634" s="87"/>
    </row>
    <row r="635" spans="1:11" x14ac:dyDescent="0.3">
      <c r="A635" s="23">
        <v>0</v>
      </c>
      <c r="B635" s="23">
        <v>5</v>
      </c>
      <c r="C635" s="81">
        <v>14119</v>
      </c>
      <c r="D635" s="81">
        <v>1</v>
      </c>
      <c r="E635" s="70">
        <v>3</v>
      </c>
      <c r="F635" s="81" t="s">
        <v>97</v>
      </c>
      <c r="G635" s="81" t="s">
        <v>98</v>
      </c>
      <c r="H635" s="81">
        <v>1961</v>
      </c>
      <c r="I635" s="81" t="s">
        <v>99</v>
      </c>
      <c r="K635" s="87"/>
    </row>
    <row r="636" spans="1:11" x14ac:dyDescent="0.3">
      <c r="A636" s="23">
        <v>0</v>
      </c>
      <c r="B636" s="23">
        <v>6.3181818181800002</v>
      </c>
      <c r="C636" s="81">
        <v>14119</v>
      </c>
      <c r="D636" s="81">
        <v>1</v>
      </c>
      <c r="E636" s="70">
        <v>3</v>
      </c>
      <c r="F636" s="81" t="s">
        <v>97</v>
      </c>
      <c r="G636" s="81" t="s">
        <v>98</v>
      </c>
      <c r="H636" s="81">
        <v>1961</v>
      </c>
      <c r="I636" s="81" t="s">
        <v>99</v>
      </c>
      <c r="K636" s="87"/>
    </row>
    <row r="637" spans="1:11" x14ac:dyDescent="0.3">
      <c r="A637" s="23">
        <v>0</v>
      </c>
      <c r="B637" s="23">
        <v>6.6363636363599996</v>
      </c>
      <c r="C637" s="81">
        <v>14119</v>
      </c>
      <c r="D637" s="81">
        <v>1</v>
      </c>
      <c r="E637" s="70">
        <v>3</v>
      </c>
      <c r="F637" s="81" t="s">
        <v>97</v>
      </c>
      <c r="G637" s="81" t="s">
        <v>98</v>
      </c>
      <c r="H637" s="81">
        <v>1961</v>
      </c>
      <c r="I637" s="81" t="s">
        <v>99</v>
      </c>
      <c r="K637" s="87"/>
    </row>
    <row r="638" spans="1:11" x14ac:dyDescent="0.3">
      <c r="A638" s="23">
        <v>4.5199999999999996</v>
      </c>
      <c r="B638" s="23">
        <v>6.9545454545499998</v>
      </c>
      <c r="C638" s="81">
        <v>14119</v>
      </c>
      <c r="D638" s="81">
        <v>1</v>
      </c>
      <c r="E638" s="70">
        <v>3</v>
      </c>
      <c r="F638" s="81" t="s">
        <v>97</v>
      </c>
      <c r="G638" s="81" t="s">
        <v>98</v>
      </c>
      <c r="H638" s="81">
        <v>1961</v>
      </c>
      <c r="I638" s="81" t="s">
        <v>99</v>
      </c>
      <c r="K638" s="87"/>
    </row>
    <row r="639" spans="1:11" x14ac:dyDescent="0.3">
      <c r="A639" s="23">
        <v>5.0149999999999997</v>
      </c>
      <c r="B639" s="23">
        <v>3.9545454545499998</v>
      </c>
      <c r="C639" s="81">
        <v>14119</v>
      </c>
      <c r="D639" s="81">
        <v>1</v>
      </c>
      <c r="E639" s="70">
        <v>3</v>
      </c>
      <c r="F639" s="81" t="s">
        <v>97</v>
      </c>
      <c r="G639" s="81" t="s">
        <v>98</v>
      </c>
      <c r="H639" s="81">
        <v>1961</v>
      </c>
      <c r="I639" s="81" t="s">
        <v>99</v>
      </c>
      <c r="K639" s="87"/>
    </row>
    <row r="640" spans="1:11" x14ac:dyDescent="0.3">
      <c r="A640" s="23">
        <v>5.42</v>
      </c>
      <c r="B640" s="23">
        <v>8</v>
      </c>
      <c r="C640" s="81">
        <v>14119</v>
      </c>
      <c r="D640" s="81">
        <v>1</v>
      </c>
      <c r="E640" s="70">
        <v>3</v>
      </c>
      <c r="F640" s="81" t="s">
        <v>97</v>
      </c>
      <c r="G640" s="81" t="s">
        <v>98</v>
      </c>
      <c r="H640" s="81">
        <v>1961</v>
      </c>
      <c r="I640" s="81" t="s">
        <v>99</v>
      </c>
      <c r="K640" s="87"/>
    </row>
    <row r="641" spans="1:11" x14ac:dyDescent="0.3">
      <c r="A641" s="23">
        <v>5.4649999999999999</v>
      </c>
      <c r="B641" s="23">
        <v>9</v>
      </c>
      <c r="C641" s="81">
        <v>14119</v>
      </c>
      <c r="D641" s="81">
        <v>1</v>
      </c>
      <c r="E641" s="70">
        <v>3</v>
      </c>
      <c r="F641" s="81" t="s">
        <v>97</v>
      </c>
      <c r="G641" s="81" t="s">
        <v>98</v>
      </c>
      <c r="H641" s="81">
        <v>1961</v>
      </c>
      <c r="I641" s="81" t="s">
        <v>99</v>
      </c>
      <c r="K641" s="87"/>
    </row>
    <row r="642" spans="1:11" x14ac:dyDescent="0.3">
      <c r="A642" s="23">
        <v>5.915</v>
      </c>
      <c r="B642" s="23">
        <v>6.2727272727300001</v>
      </c>
      <c r="C642" s="81">
        <v>14119</v>
      </c>
      <c r="D642" s="81">
        <v>1</v>
      </c>
      <c r="E642" s="70">
        <v>3</v>
      </c>
      <c r="F642" s="81" t="s">
        <v>97</v>
      </c>
      <c r="G642" s="81" t="s">
        <v>98</v>
      </c>
      <c r="H642" s="81">
        <v>1961</v>
      </c>
      <c r="I642" s="81" t="s">
        <v>99</v>
      </c>
      <c r="K642" s="87"/>
    </row>
    <row r="643" spans="1:11" x14ac:dyDescent="0.3">
      <c r="A643" s="23">
        <v>6.0949999999999998</v>
      </c>
      <c r="B643" s="23">
        <v>6.5909090909100003</v>
      </c>
      <c r="C643" s="81">
        <v>14119</v>
      </c>
      <c r="D643" s="81">
        <v>1</v>
      </c>
      <c r="E643" s="70">
        <v>3</v>
      </c>
      <c r="F643" s="81" t="s">
        <v>97</v>
      </c>
      <c r="G643" s="81" t="s">
        <v>98</v>
      </c>
      <c r="H643" s="81">
        <v>1961</v>
      </c>
      <c r="I643" s="81" t="s">
        <v>99</v>
      </c>
      <c r="K643" s="87"/>
    </row>
    <row r="644" spans="1:11" x14ac:dyDescent="0.3">
      <c r="A644" s="23">
        <v>6.4550000000000001</v>
      </c>
      <c r="B644" s="23">
        <v>10.4545454545</v>
      </c>
      <c r="C644" s="81">
        <v>14119</v>
      </c>
      <c r="D644" s="81">
        <v>1</v>
      </c>
      <c r="E644" s="70">
        <v>3</v>
      </c>
      <c r="F644" s="81" t="s">
        <v>97</v>
      </c>
      <c r="G644" s="81" t="s">
        <v>98</v>
      </c>
      <c r="H644" s="81">
        <v>1961</v>
      </c>
      <c r="I644" s="81" t="s">
        <v>99</v>
      </c>
      <c r="K644" s="87"/>
    </row>
    <row r="645" spans="1:11" x14ac:dyDescent="0.3">
      <c r="A645" s="23">
        <v>6.9950000000000001</v>
      </c>
      <c r="B645" s="23">
        <v>7</v>
      </c>
      <c r="C645" s="81">
        <v>14119</v>
      </c>
      <c r="D645" s="81">
        <v>1</v>
      </c>
      <c r="E645" s="70">
        <v>3</v>
      </c>
      <c r="F645" s="81" t="s">
        <v>97</v>
      </c>
      <c r="G645" s="81" t="s">
        <v>98</v>
      </c>
      <c r="H645" s="81">
        <v>1961</v>
      </c>
      <c r="I645" s="81" t="s">
        <v>99</v>
      </c>
      <c r="K645" s="87"/>
    </row>
    <row r="646" spans="1:11" x14ac:dyDescent="0.3">
      <c r="A646" s="23">
        <v>7.49</v>
      </c>
      <c r="B646" s="23">
        <v>8.5</v>
      </c>
      <c r="C646" s="81">
        <v>14119</v>
      </c>
      <c r="D646" s="81">
        <v>1</v>
      </c>
      <c r="E646" s="70">
        <v>3</v>
      </c>
      <c r="F646" s="81" t="s">
        <v>97</v>
      </c>
      <c r="G646" s="81" t="s">
        <v>98</v>
      </c>
      <c r="H646" s="81">
        <v>1961</v>
      </c>
      <c r="I646" s="81" t="s">
        <v>99</v>
      </c>
      <c r="K646" s="87"/>
    </row>
    <row r="647" spans="1:11" x14ac:dyDescent="0.3">
      <c r="A647" s="23">
        <v>7.5350000000000001</v>
      </c>
      <c r="B647" s="23">
        <v>7.4545454545499998</v>
      </c>
      <c r="C647" s="81">
        <v>14119</v>
      </c>
      <c r="D647" s="81">
        <v>1</v>
      </c>
      <c r="E647" s="70">
        <v>3</v>
      </c>
      <c r="F647" s="81" t="s">
        <v>97</v>
      </c>
      <c r="G647" s="81" t="s">
        <v>98</v>
      </c>
      <c r="H647" s="81">
        <v>1961</v>
      </c>
      <c r="I647" s="81" t="s">
        <v>99</v>
      </c>
      <c r="K647" s="87"/>
    </row>
    <row r="648" spans="1:11" x14ac:dyDescent="0.3">
      <c r="A648" s="23">
        <v>8.0299999999999994</v>
      </c>
      <c r="B648" s="23">
        <v>8.4545454545500007</v>
      </c>
      <c r="C648" s="81">
        <v>14119</v>
      </c>
      <c r="D648" s="81">
        <v>1</v>
      </c>
      <c r="E648" s="70">
        <v>3</v>
      </c>
      <c r="F648" s="81" t="s">
        <v>97</v>
      </c>
      <c r="G648" s="81" t="s">
        <v>98</v>
      </c>
      <c r="H648" s="81">
        <v>1961</v>
      </c>
      <c r="I648" s="81" t="s">
        <v>99</v>
      </c>
      <c r="K648" s="87"/>
    </row>
    <row r="649" spans="1:11" x14ac:dyDescent="0.3">
      <c r="A649" s="87">
        <v>8.0299999999999994</v>
      </c>
      <c r="B649" s="23">
        <v>9.9545454545500007</v>
      </c>
      <c r="C649" s="81">
        <v>14119</v>
      </c>
      <c r="D649" s="81">
        <v>1</v>
      </c>
      <c r="E649" s="70">
        <v>3</v>
      </c>
      <c r="F649" s="81" t="s">
        <v>97</v>
      </c>
      <c r="G649" s="81" t="s">
        <v>98</v>
      </c>
      <c r="H649" s="81">
        <v>1961</v>
      </c>
      <c r="I649" s="81" t="s">
        <v>99</v>
      </c>
      <c r="K649" s="87"/>
    </row>
    <row r="650" spans="1:11" x14ac:dyDescent="0.3">
      <c r="A650" s="87">
        <v>8.39</v>
      </c>
      <c r="B650" s="23">
        <v>9.3636363636399995</v>
      </c>
      <c r="C650" s="81">
        <v>14119</v>
      </c>
      <c r="D650" s="81">
        <v>1</v>
      </c>
      <c r="E650" s="70">
        <v>3</v>
      </c>
      <c r="F650" s="81" t="s">
        <v>97</v>
      </c>
      <c r="G650" s="81" t="s">
        <v>98</v>
      </c>
      <c r="H650" s="81">
        <v>1961</v>
      </c>
      <c r="I650" s="81" t="s">
        <v>99</v>
      </c>
      <c r="K650" s="87"/>
    </row>
    <row r="651" spans="1:11" x14ac:dyDescent="0.3">
      <c r="A651" s="87">
        <v>8.48</v>
      </c>
      <c r="B651" s="23">
        <v>10.4545454545</v>
      </c>
      <c r="C651" s="81">
        <v>14119</v>
      </c>
      <c r="D651" s="81">
        <v>1</v>
      </c>
      <c r="E651" s="70">
        <v>3</v>
      </c>
      <c r="F651" s="81" t="s">
        <v>97</v>
      </c>
      <c r="G651" s="81" t="s">
        <v>98</v>
      </c>
      <c r="H651" s="81">
        <v>1961</v>
      </c>
      <c r="I651" s="81" t="s">
        <v>99</v>
      </c>
      <c r="K651" s="87"/>
    </row>
    <row r="652" spans="1:11" x14ac:dyDescent="0.3">
      <c r="A652" s="87">
        <v>8.57</v>
      </c>
      <c r="B652" s="23">
        <v>8.4545454545500007</v>
      </c>
      <c r="C652" s="81">
        <v>14119</v>
      </c>
      <c r="D652" s="81">
        <v>1</v>
      </c>
      <c r="E652" s="70">
        <v>3</v>
      </c>
      <c r="F652" s="81" t="s">
        <v>97</v>
      </c>
      <c r="G652" s="81" t="s">
        <v>98</v>
      </c>
      <c r="H652" s="81">
        <v>1961</v>
      </c>
      <c r="I652" s="81" t="s">
        <v>99</v>
      </c>
      <c r="K652" s="87"/>
    </row>
    <row r="653" spans="1:11" x14ac:dyDescent="0.3">
      <c r="A653" s="87">
        <v>8.66</v>
      </c>
      <c r="B653" s="23">
        <v>9.6363636363600005</v>
      </c>
      <c r="C653" s="81">
        <v>14119</v>
      </c>
      <c r="D653" s="81">
        <v>1</v>
      </c>
      <c r="E653" s="70">
        <v>3</v>
      </c>
      <c r="F653" s="81" t="s">
        <v>97</v>
      </c>
      <c r="G653" s="81" t="s">
        <v>98</v>
      </c>
      <c r="H653" s="81">
        <v>1961</v>
      </c>
      <c r="I653" s="81" t="s">
        <v>99</v>
      </c>
      <c r="K653" s="87"/>
    </row>
    <row r="654" spans="1:11" x14ac:dyDescent="0.3">
      <c r="A654" s="87">
        <v>8.8849999999999998</v>
      </c>
      <c r="B654" s="23">
        <v>8.8636363636399995</v>
      </c>
      <c r="C654" s="81">
        <v>14119</v>
      </c>
      <c r="D654" s="81">
        <v>1</v>
      </c>
      <c r="E654" s="70">
        <v>3</v>
      </c>
      <c r="F654" s="81" t="s">
        <v>97</v>
      </c>
      <c r="G654" s="81" t="s">
        <v>98</v>
      </c>
      <c r="H654" s="81">
        <v>1961</v>
      </c>
      <c r="I654" s="81" t="s">
        <v>99</v>
      </c>
      <c r="K654" s="87"/>
    </row>
    <row r="655" spans="1:11" x14ac:dyDescent="0.3">
      <c r="A655" s="87">
        <v>8.93</v>
      </c>
      <c r="B655" s="23">
        <v>10.4545454545</v>
      </c>
      <c r="C655" s="81">
        <v>14119</v>
      </c>
      <c r="D655" s="81">
        <v>1</v>
      </c>
      <c r="E655" s="70">
        <v>3</v>
      </c>
      <c r="F655" s="81" t="s">
        <v>97</v>
      </c>
      <c r="G655" s="81" t="s">
        <v>98</v>
      </c>
      <c r="H655" s="81">
        <v>1961</v>
      </c>
      <c r="I655" s="81" t="s">
        <v>99</v>
      </c>
      <c r="K655" s="87"/>
    </row>
    <row r="656" spans="1:11" x14ac:dyDescent="0.3">
      <c r="A656" s="87">
        <v>9.0649999999999995</v>
      </c>
      <c r="B656" s="23">
        <v>10</v>
      </c>
      <c r="C656" s="81">
        <v>14119</v>
      </c>
      <c r="D656" s="81">
        <v>1</v>
      </c>
      <c r="E656" s="70">
        <v>3</v>
      </c>
      <c r="F656" s="81" t="s">
        <v>97</v>
      </c>
      <c r="G656" s="81" t="s">
        <v>98</v>
      </c>
      <c r="H656" s="81">
        <v>1961</v>
      </c>
      <c r="I656" s="81" t="s">
        <v>99</v>
      </c>
      <c r="K656" s="87"/>
    </row>
    <row r="657" spans="1:11" x14ac:dyDescent="0.3">
      <c r="A657" s="87">
        <v>9.1549999999999994</v>
      </c>
      <c r="B657" s="23">
        <v>9.0909090909099994</v>
      </c>
      <c r="C657" s="81">
        <v>14119</v>
      </c>
      <c r="D657" s="81">
        <v>1</v>
      </c>
      <c r="E657" s="70">
        <v>3</v>
      </c>
      <c r="F657" s="81" t="s">
        <v>97</v>
      </c>
      <c r="G657" s="81" t="s">
        <v>98</v>
      </c>
      <c r="H657" s="81">
        <v>1961</v>
      </c>
      <c r="I657" s="81" t="s">
        <v>99</v>
      </c>
      <c r="K657" s="87"/>
    </row>
    <row r="658" spans="1:11" x14ac:dyDescent="0.3">
      <c r="A658" s="87">
        <v>9.9649999999999999</v>
      </c>
      <c r="B658" s="23">
        <v>8.9545454545500007</v>
      </c>
      <c r="C658" s="81">
        <v>14119</v>
      </c>
      <c r="D658" s="81">
        <v>1</v>
      </c>
      <c r="E658" s="70">
        <v>3</v>
      </c>
      <c r="F658" s="81" t="s">
        <v>97</v>
      </c>
      <c r="G658" s="81" t="s">
        <v>98</v>
      </c>
      <c r="H658" s="81">
        <v>1961</v>
      </c>
      <c r="I658" s="81" t="s">
        <v>99</v>
      </c>
      <c r="K658" s="87"/>
    </row>
    <row r="659" spans="1:11" x14ac:dyDescent="0.3">
      <c r="A659" s="87">
        <v>9.9649999999999999</v>
      </c>
      <c r="B659" s="23">
        <v>10.4545454545</v>
      </c>
      <c r="C659" s="81">
        <v>14119</v>
      </c>
      <c r="D659" s="81">
        <v>1</v>
      </c>
      <c r="E659" s="70">
        <v>3</v>
      </c>
      <c r="F659" s="81" t="s">
        <v>97</v>
      </c>
      <c r="G659" s="81" t="s">
        <v>98</v>
      </c>
      <c r="H659" s="81">
        <v>1961</v>
      </c>
      <c r="I659" s="81" t="s">
        <v>99</v>
      </c>
      <c r="K659" s="87"/>
    </row>
    <row r="660" spans="1:11" x14ac:dyDescent="0.3">
      <c r="A660" s="87">
        <v>10.01</v>
      </c>
      <c r="B660" s="23">
        <v>9.9545454545500007</v>
      </c>
      <c r="C660" s="81">
        <v>14119</v>
      </c>
      <c r="D660" s="81">
        <v>1</v>
      </c>
      <c r="E660" s="70">
        <v>3</v>
      </c>
      <c r="F660" s="81" t="s">
        <v>97</v>
      </c>
      <c r="G660" s="81" t="s">
        <v>98</v>
      </c>
      <c r="H660" s="81">
        <v>1961</v>
      </c>
      <c r="I660" s="81" t="s">
        <v>99</v>
      </c>
      <c r="K660" s="87"/>
    </row>
    <row r="661" spans="1:11" x14ac:dyDescent="0.3">
      <c r="A661" s="87">
        <v>10.414999999999999</v>
      </c>
      <c r="B661" s="23">
        <v>10.272727272699999</v>
      </c>
      <c r="C661" s="81">
        <v>14119</v>
      </c>
      <c r="D661" s="81">
        <v>1</v>
      </c>
      <c r="E661" s="70">
        <v>3</v>
      </c>
      <c r="F661" s="81" t="s">
        <v>97</v>
      </c>
      <c r="G661" s="81" t="s">
        <v>98</v>
      </c>
      <c r="H661" s="81">
        <v>1961</v>
      </c>
      <c r="I661" s="81" t="s">
        <v>99</v>
      </c>
      <c r="K661" s="87"/>
    </row>
    <row r="662" spans="1:11" x14ac:dyDescent="0.3">
      <c r="A662" s="87">
        <v>10.414999999999999</v>
      </c>
      <c r="B662" s="23">
        <v>11</v>
      </c>
      <c r="C662" s="81">
        <v>14119</v>
      </c>
      <c r="D662" s="81">
        <v>1</v>
      </c>
      <c r="E662" s="70">
        <v>3</v>
      </c>
      <c r="F662" s="81" t="s">
        <v>97</v>
      </c>
      <c r="G662" s="81" t="s">
        <v>98</v>
      </c>
      <c r="H662" s="81">
        <v>1961</v>
      </c>
      <c r="I662" s="81" t="s">
        <v>99</v>
      </c>
      <c r="K662" s="87"/>
    </row>
    <row r="663" spans="1:11" x14ac:dyDescent="0.3">
      <c r="A663" s="87">
        <v>10.505000000000001</v>
      </c>
      <c r="B663" s="23">
        <v>9.9545454545500007</v>
      </c>
      <c r="C663" s="81">
        <v>14119</v>
      </c>
      <c r="D663" s="81">
        <v>1</v>
      </c>
      <c r="E663" s="70">
        <v>3</v>
      </c>
      <c r="F663" s="81" t="s">
        <v>97</v>
      </c>
      <c r="G663" s="81" t="s">
        <v>98</v>
      </c>
      <c r="H663" s="81">
        <v>1961</v>
      </c>
      <c r="I663" s="81" t="s">
        <v>99</v>
      </c>
      <c r="K663" s="87"/>
    </row>
    <row r="664" spans="1:11" x14ac:dyDescent="0.3">
      <c r="A664" s="23">
        <v>10.55</v>
      </c>
      <c r="B664" s="23">
        <v>9.5</v>
      </c>
      <c r="C664" s="81">
        <v>14119</v>
      </c>
      <c r="D664" s="81">
        <v>1</v>
      </c>
      <c r="E664" s="70">
        <v>3</v>
      </c>
      <c r="F664" s="81" t="s">
        <v>97</v>
      </c>
      <c r="G664" s="81" t="s">
        <v>98</v>
      </c>
      <c r="H664" s="81">
        <v>1961</v>
      </c>
      <c r="I664" s="81" t="s">
        <v>99</v>
      </c>
      <c r="K664" s="87"/>
    </row>
    <row r="665" spans="1:11" x14ac:dyDescent="0.3">
      <c r="A665" s="87">
        <v>10.685</v>
      </c>
      <c r="B665" s="23">
        <v>10.5454545455</v>
      </c>
      <c r="C665" s="81">
        <v>14119</v>
      </c>
      <c r="D665" s="81">
        <v>1</v>
      </c>
      <c r="E665" s="70">
        <v>3</v>
      </c>
      <c r="F665" s="81" t="s">
        <v>97</v>
      </c>
      <c r="G665" s="81" t="s">
        <v>98</v>
      </c>
      <c r="H665" s="81">
        <v>1961</v>
      </c>
      <c r="I665" s="81" t="s">
        <v>99</v>
      </c>
      <c r="K665" s="87"/>
    </row>
    <row r="666" spans="1:11" x14ac:dyDescent="0.3">
      <c r="A666" s="87">
        <v>10.91</v>
      </c>
      <c r="B666" s="23">
        <v>10.8636363636</v>
      </c>
      <c r="C666" s="81">
        <v>14119</v>
      </c>
      <c r="D666" s="81">
        <v>1</v>
      </c>
      <c r="E666" s="70">
        <v>3</v>
      </c>
      <c r="F666" s="81" t="s">
        <v>97</v>
      </c>
      <c r="G666" s="81" t="s">
        <v>98</v>
      </c>
      <c r="H666" s="81">
        <v>1961</v>
      </c>
      <c r="I666" s="81" t="s">
        <v>99</v>
      </c>
      <c r="K666" s="87"/>
    </row>
    <row r="667" spans="1:11" x14ac:dyDescent="0.3">
      <c r="A667" s="87">
        <v>10.955</v>
      </c>
      <c r="B667" s="23">
        <v>10.4545454545</v>
      </c>
      <c r="C667" s="81">
        <v>14119</v>
      </c>
      <c r="D667" s="81">
        <v>1</v>
      </c>
      <c r="E667" s="70">
        <v>3</v>
      </c>
      <c r="F667" s="81" t="s">
        <v>97</v>
      </c>
      <c r="G667" s="81" t="s">
        <v>98</v>
      </c>
      <c r="H667" s="81">
        <v>1961</v>
      </c>
      <c r="I667" s="81" t="s">
        <v>99</v>
      </c>
      <c r="K667" s="87"/>
    </row>
    <row r="668" spans="1:11" x14ac:dyDescent="0.3">
      <c r="A668" s="87">
        <v>11.135</v>
      </c>
      <c r="B668" s="23">
        <v>11.0454545455</v>
      </c>
      <c r="C668" s="81">
        <v>14119</v>
      </c>
      <c r="D668" s="81">
        <v>1</v>
      </c>
      <c r="E668" s="70">
        <v>3</v>
      </c>
      <c r="F668" s="81" t="s">
        <v>97</v>
      </c>
      <c r="G668" s="81" t="s">
        <v>98</v>
      </c>
      <c r="H668" s="81">
        <v>1961</v>
      </c>
      <c r="I668" s="81" t="s">
        <v>99</v>
      </c>
      <c r="K668" s="87"/>
    </row>
    <row r="669" spans="1:11" x14ac:dyDescent="0.3">
      <c r="A669" s="87">
        <v>5</v>
      </c>
      <c r="B669" s="23">
        <v>0</v>
      </c>
      <c r="C669" s="81">
        <v>4099</v>
      </c>
      <c r="D669" s="81">
        <v>1</v>
      </c>
      <c r="E669" s="70">
        <v>1</v>
      </c>
      <c r="F669" s="81" t="s">
        <v>474</v>
      </c>
      <c r="G669" s="81" t="s">
        <v>472</v>
      </c>
      <c r="H669" s="81">
        <v>1967</v>
      </c>
      <c r="I669" s="81" t="s">
        <v>473</v>
      </c>
    </row>
    <row r="670" spans="1:11" x14ac:dyDescent="0.3">
      <c r="A670" s="87">
        <v>5</v>
      </c>
      <c r="B670" s="23">
        <v>4</v>
      </c>
      <c r="C670" s="81">
        <v>4099</v>
      </c>
      <c r="D670" s="81">
        <v>1</v>
      </c>
      <c r="E670" s="70">
        <v>1</v>
      </c>
      <c r="F670" s="81" t="s">
        <v>474</v>
      </c>
      <c r="G670" s="81" t="s">
        <v>472</v>
      </c>
      <c r="H670" s="81">
        <v>1967</v>
      </c>
      <c r="I670" s="81" t="s">
        <v>473</v>
      </c>
    </row>
    <row r="671" spans="1:11" x14ac:dyDescent="0.3">
      <c r="A671" s="87">
        <v>6</v>
      </c>
      <c r="B671" s="23">
        <v>5</v>
      </c>
      <c r="C671" s="81">
        <v>4099</v>
      </c>
      <c r="D671" s="81">
        <v>1</v>
      </c>
      <c r="E671" s="70">
        <v>1</v>
      </c>
      <c r="F671" s="81" t="s">
        <v>474</v>
      </c>
      <c r="G671" s="81" t="s">
        <v>472</v>
      </c>
      <c r="H671" s="81">
        <v>1967</v>
      </c>
      <c r="I671" s="81" t="s">
        <v>473</v>
      </c>
    </row>
    <row r="672" spans="1:11" x14ac:dyDescent="0.3">
      <c r="A672" s="87">
        <v>6</v>
      </c>
      <c r="B672" s="23">
        <v>5</v>
      </c>
      <c r="C672" s="81">
        <v>4099</v>
      </c>
      <c r="D672" s="81">
        <v>1</v>
      </c>
      <c r="E672" s="70">
        <v>1</v>
      </c>
      <c r="F672" s="81" t="s">
        <v>474</v>
      </c>
      <c r="G672" s="81" t="s">
        <v>472</v>
      </c>
      <c r="H672" s="81">
        <v>1967</v>
      </c>
      <c r="I672" s="81" t="s">
        <v>473</v>
      </c>
    </row>
    <row r="673" spans="1:9" x14ac:dyDescent="0.3">
      <c r="A673" s="87">
        <v>6</v>
      </c>
      <c r="B673" s="23">
        <v>6</v>
      </c>
      <c r="C673" s="81">
        <v>4099</v>
      </c>
      <c r="D673" s="81">
        <v>1</v>
      </c>
      <c r="E673" s="70">
        <v>1</v>
      </c>
      <c r="F673" s="81" t="s">
        <v>474</v>
      </c>
      <c r="G673" s="81" t="s">
        <v>472</v>
      </c>
      <c r="H673" s="81">
        <v>1967</v>
      </c>
      <c r="I673" s="81" t="s">
        <v>473</v>
      </c>
    </row>
    <row r="674" spans="1:9" x14ac:dyDescent="0.3">
      <c r="A674" s="87">
        <v>6</v>
      </c>
      <c r="B674" s="23">
        <v>12</v>
      </c>
      <c r="C674" s="81">
        <v>4099</v>
      </c>
      <c r="D674" s="81">
        <v>1</v>
      </c>
      <c r="E674" s="70">
        <v>1</v>
      </c>
      <c r="F674" s="81" t="s">
        <v>474</v>
      </c>
      <c r="G674" s="81" t="s">
        <v>472</v>
      </c>
      <c r="H674" s="81">
        <v>1967</v>
      </c>
      <c r="I674" s="81" t="s">
        <v>473</v>
      </c>
    </row>
    <row r="675" spans="1:9" x14ac:dyDescent="0.3">
      <c r="A675" s="87">
        <v>7</v>
      </c>
      <c r="B675" s="23">
        <v>5</v>
      </c>
      <c r="C675" s="81">
        <v>4099</v>
      </c>
      <c r="D675" s="81">
        <v>1</v>
      </c>
      <c r="E675" s="70">
        <v>1</v>
      </c>
      <c r="F675" s="81" t="s">
        <v>474</v>
      </c>
      <c r="G675" s="81" t="s">
        <v>472</v>
      </c>
      <c r="H675" s="81">
        <v>1967</v>
      </c>
      <c r="I675" s="81" t="s">
        <v>473</v>
      </c>
    </row>
    <row r="676" spans="1:9" x14ac:dyDescent="0.3">
      <c r="A676" s="87">
        <v>7</v>
      </c>
      <c r="B676" s="23">
        <v>5</v>
      </c>
      <c r="C676" s="81">
        <v>4099</v>
      </c>
      <c r="D676" s="81">
        <v>1</v>
      </c>
      <c r="E676" s="70">
        <v>1</v>
      </c>
      <c r="F676" s="81" t="s">
        <v>474</v>
      </c>
      <c r="G676" s="81" t="s">
        <v>472</v>
      </c>
      <c r="H676" s="81">
        <v>1967</v>
      </c>
      <c r="I676" s="81" t="s">
        <v>473</v>
      </c>
    </row>
    <row r="677" spans="1:9" x14ac:dyDescent="0.3">
      <c r="A677" s="87">
        <v>7</v>
      </c>
      <c r="B677" s="23">
        <v>5</v>
      </c>
      <c r="C677" s="81">
        <v>4099</v>
      </c>
      <c r="D677" s="81">
        <v>1</v>
      </c>
      <c r="E677" s="70">
        <v>1</v>
      </c>
      <c r="F677" s="81" t="s">
        <v>474</v>
      </c>
      <c r="G677" s="81" t="s">
        <v>472</v>
      </c>
      <c r="H677" s="81">
        <v>1967</v>
      </c>
      <c r="I677" s="81" t="s">
        <v>473</v>
      </c>
    </row>
    <row r="678" spans="1:9" x14ac:dyDescent="0.3">
      <c r="A678" s="87">
        <v>7</v>
      </c>
      <c r="B678" s="23">
        <v>5</v>
      </c>
      <c r="C678" s="81">
        <v>4099</v>
      </c>
      <c r="D678" s="81">
        <v>1</v>
      </c>
      <c r="E678" s="70">
        <v>1</v>
      </c>
      <c r="F678" s="81" t="s">
        <v>474</v>
      </c>
      <c r="G678" s="81" t="s">
        <v>472</v>
      </c>
      <c r="H678" s="81">
        <v>1967</v>
      </c>
      <c r="I678" s="81" t="s">
        <v>473</v>
      </c>
    </row>
    <row r="679" spans="1:9" x14ac:dyDescent="0.3">
      <c r="A679" s="87">
        <v>7</v>
      </c>
      <c r="B679" s="23">
        <v>6</v>
      </c>
      <c r="C679" s="81">
        <v>4099</v>
      </c>
      <c r="D679" s="81">
        <v>1</v>
      </c>
      <c r="E679" s="70">
        <v>1</v>
      </c>
      <c r="F679" s="81" t="s">
        <v>474</v>
      </c>
      <c r="G679" s="81" t="s">
        <v>472</v>
      </c>
      <c r="H679" s="81">
        <v>1967</v>
      </c>
      <c r="I679" s="81" t="s">
        <v>473</v>
      </c>
    </row>
    <row r="680" spans="1:9" x14ac:dyDescent="0.3">
      <c r="A680" s="87">
        <v>7</v>
      </c>
      <c r="B680" s="23">
        <v>6</v>
      </c>
      <c r="C680" s="81">
        <v>4099</v>
      </c>
      <c r="D680" s="81">
        <v>1</v>
      </c>
      <c r="E680" s="70">
        <v>1</v>
      </c>
      <c r="F680" s="81" t="s">
        <v>474</v>
      </c>
      <c r="G680" s="81" t="s">
        <v>472</v>
      </c>
      <c r="H680" s="81">
        <v>1967</v>
      </c>
      <c r="I680" s="81" t="s">
        <v>473</v>
      </c>
    </row>
    <row r="681" spans="1:9" x14ac:dyDescent="0.3">
      <c r="A681" s="87">
        <v>7</v>
      </c>
      <c r="B681" s="23">
        <v>6</v>
      </c>
      <c r="C681" s="81">
        <v>4099</v>
      </c>
      <c r="D681" s="81">
        <v>1</v>
      </c>
      <c r="E681" s="70">
        <v>1</v>
      </c>
      <c r="F681" s="81" t="s">
        <v>474</v>
      </c>
      <c r="G681" s="81" t="s">
        <v>472</v>
      </c>
      <c r="H681" s="81">
        <v>1967</v>
      </c>
      <c r="I681" s="81" t="s">
        <v>473</v>
      </c>
    </row>
    <row r="682" spans="1:9" x14ac:dyDescent="0.3">
      <c r="A682" s="87">
        <v>7</v>
      </c>
      <c r="B682" s="23">
        <v>6</v>
      </c>
      <c r="C682" s="81">
        <v>4099</v>
      </c>
      <c r="D682" s="81">
        <v>1</v>
      </c>
      <c r="E682" s="70">
        <v>1</v>
      </c>
      <c r="F682" s="81" t="s">
        <v>474</v>
      </c>
      <c r="G682" s="81" t="s">
        <v>472</v>
      </c>
      <c r="H682" s="81">
        <v>1967</v>
      </c>
      <c r="I682" s="81" t="s">
        <v>473</v>
      </c>
    </row>
    <row r="683" spans="1:9" x14ac:dyDescent="0.3">
      <c r="A683" s="87">
        <v>7</v>
      </c>
      <c r="B683" s="23">
        <v>7</v>
      </c>
      <c r="C683" s="81">
        <v>4099</v>
      </c>
      <c r="D683" s="81">
        <v>1</v>
      </c>
      <c r="E683" s="70">
        <v>1</v>
      </c>
      <c r="F683" s="81" t="s">
        <v>474</v>
      </c>
      <c r="G683" s="81" t="s">
        <v>472</v>
      </c>
      <c r="H683" s="81">
        <v>1967</v>
      </c>
      <c r="I683" s="81" t="s">
        <v>473</v>
      </c>
    </row>
    <row r="684" spans="1:9" x14ac:dyDescent="0.3">
      <c r="A684" s="87">
        <v>7</v>
      </c>
      <c r="B684" s="23">
        <v>7</v>
      </c>
      <c r="C684" s="81">
        <v>4099</v>
      </c>
      <c r="D684" s="81">
        <v>1</v>
      </c>
      <c r="E684" s="70">
        <v>1</v>
      </c>
      <c r="F684" s="81" t="s">
        <v>474</v>
      </c>
      <c r="G684" s="81" t="s">
        <v>472</v>
      </c>
      <c r="H684" s="81">
        <v>1967</v>
      </c>
      <c r="I684" s="81" t="s">
        <v>473</v>
      </c>
    </row>
    <row r="685" spans="1:9" x14ac:dyDescent="0.3">
      <c r="A685" s="87">
        <v>7</v>
      </c>
      <c r="B685" s="23">
        <v>7</v>
      </c>
      <c r="C685" s="81">
        <v>4099</v>
      </c>
      <c r="D685" s="81">
        <v>1</v>
      </c>
      <c r="E685" s="70">
        <v>1</v>
      </c>
      <c r="F685" s="81" t="s">
        <v>474</v>
      </c>
      <c r="G685" s="81" t="s">
        <v>472</v>
      </c>
      <c r="H685" s="81">
        <v>1967</v>
      </c>
      <c r="I685" s="81" t="s">
        <v>473</v>
      </c>
    </row>
    <row r="686" spans="1:9" x14ac:dyDescent="0.3">
      <c r="A686" s="87">
        <v>7</v>
      </c>
      <c r="B686" s="23">
        <v>7</v>
      </c>
      <c r="C686" s="81">
        <v>4099</v>
      </c>
      <c r="D686" s="81">
        <v>1</v>
      </c>
      <c r="E686" s="70">
        <v>1</v>
      </c>
      <c r="F686" s="81" t="s">
        <v>474</v>
      </c>
      <c r="G686" s="81" t="s">
        <v>472</v>
      </c>
      <c r="H686" s="81">
        <v>1967</v>
      </c>
      <c r="I686" s="81" t="s">
        <v>473</v>
      </c>
    </row>
    <row r="687" spans="1:9" x14ac:dyDescent="0.3">
      <c r="A687" s="87">
        <v>7</v>
      </c>
      <c r="B687" s="23">
        <v>7</v>
      </c>
      <c r="C687" s="81">
        <v>4099</v>
      </c>
      <c r="D687" s="81">
        <v>1</v>
      </c>
      <c r="E687" s="70">
        <v>1</v>
      </c>
      <c r="F687" s="81" t="s">
        <v>474</v>
      </c>
      <c r="G687" s="81" t="s">
        <v>472</v>
      </c>
      <c r="H687" s="81">
        <v>1967</v>
      </c>
      <c r="I687" s="81" t="s">
        <v>473</v>
      </c>
    </row>
    <row r="688" spans="1:9" x14ac:dyDescent="0.3">
      <c r="A688" s="87">
        <v>7</v>
      </c>
      <c r="B688" s="23">
        <v>7</v>
      </c>
      <c r="C688" s="81">
        <v>4099</v>
      </c>
      <c r="D688" s="81">
        <v>1</v>
      </c>
      <c r="E688" s="70">
        <v>1</v>
      </c>
      <c r="F688" s="81" t="s">
        <v>474</v>
      </c>
      <c r="G688" s="81" t="s">
        <v>472</v>
      </c>
      <c r="H688" s="81">
        <v>1967</v>
      </c>
      <c r="I688" s="81" t="s">
        <v>473</v>
      </c>
    </row>
    <row r="689" spans="1:9" x14ac:dyDescent="0.3">
      <c r="A689" s="87">
        <v>7</v>
      </c>
      <c r="B689" s="23">
        <v>10</v>
      </c>
      <c r="C689" s="81">
        <v>4099</v>
      </c>
      <c r="D689" s="81">
        <v>1</v>
      </c>
      <c r="E689" s="70">
        <v>1</v>
      </c>
      <c r="F689" s="81" t="s">
        <v>474</v>
      </c>
      <c r="G689" s="81" t="s">
        <v>472</v>
      </c>
      <c r="H689" s="81">
        <v>1967</v>
      </c>
      <c r="I689" s="81" t="s">
        <v>473</v>
      </c>
    </row>
    <row r="690" spans="1:9" x14ac:dyDescent="0.3">
      <c r="A690" s="23">
        <v>8</v>
      </c>
      <c r="B690" s="23">
        <v>6</v>
      </c>
      <c r="C690" s="81">
        <v>4099</v>
      </c>
      <c r="D690" s="81">
        <v>1</v>
      </c>
      <c r="E690" s="70">
        <v>1</v>
      </c>
      <c r="F690" s="81" t="s">
        <v>474</v>
      </c>
      <c r="G690" s="81" t="s">
        <v>472</v>
      </c>
      <c r="H690" s="81">
        <v>1967</v>
      </c>
      <c r="I690" s="81" t="s">
        <v>473</v>
      </c>
    </row>
    <row r="691" spans="1:9" x14ac:dyDescent="0.3">
      <c r="A691" s="87">
        <v>8</v>
      </c>
      <c r="B691" s="23">
        <v>6</v>
      </c>
      <c r="C691" s="81">
        <v>4099</v>
      </c>
      <c r="D691" s="81">
        <v>1</v>
      </c>
      <c r="E691" s="70">
        <v>1</v>
      </c>
      <c r="F691" s="81" t="s">
        <v>474</v>
      </c>
      <c r="G691" s="81" t="s">
        <v>472</v>
      </c>
      <c r="H691" s="81">
        <v>1967</v>
      </c>
      <c r="I691" s="81" t="s">
        <v>473</v>
      </c>
    </row>
    <row r="692" spans="1:9" x14ac:dyDescent="0.3">
      <c r="A692" s="87">
        <v>8</v>
      </c>
      <c r="B692" s="23">
        <v>6</v>
      </c>
      <c r="C692" s="81">
        <v>4099</v>
      </c>
      <c r="D692" s="81">
        <v>1</v>
      </c>
      <c r="E692" s="70">
        <v>1</v>
      </c>
      <c r="F692" s="81" t="s">
        <v>474</v>
      </c>
      <c r="G692" s="81" t="s">
        <v>472</v>
      </c>
      <c r="H692" s="81">
        <v>1967</v>
      </c>
      <c r="I692" s="81" t="s">
        <v>473</v>
      </c>
    </row>
    <row r="693" spans="1:9" x14ac:dyDescent="0.3">
      <c r="A693" s="87">
        <v>8</v>
      </c>
      <c r="B693" s="23">
        <v>6</v>
      </c>
      <c r="C693" s="81">
        <v>4099</v>
      </c>
      <c r="D693" s="81">
        <v>1</v>
      </c>
      <c r="E693" s="70">
        <v>1</v>
      </c>
      <c r="F693" s="81" t="s">
        <v>474</v>
      </c>
      <c r="G693" s="81" t="s">
        <v>472</v>
      </c>
      <c r="H693" s="81">
        <v>1967</v>
      </c>
      <c r="I693" s="81" t="s">
        <v>473</v>
      </c>
    </row>
    <row r="694" spans="1:9" x14ac:dyDescent="0.3">
      <c r="A694" s="87">
        <v>8</v>
      </c>
      <c r="B694" s="23">
        <v>7</v>
      </c>
      <c r="C694" s="81">
        <v>4099</v>
      </c>
      <c r="D694" s="81">
        <v>1</v>
      </c>
      <c r="E694" s="70">
        <v>1</v>
      </c>
      <c r="F694" s="81" t="s">
        <v>474</v>
      </c>
      <c r="G694" s="81" t="s">
        <v>472</v>
      </c>
      <c r="H694" s="81">
        <v>1967</v>
      </c>
      <c r="I694" s="81" t="s">
        <v>473</v>
      </c>
    </row>
    <row r="695" spans="1:9" x14ac:dyDescent="0.3">
      <c r="A695" s="87">
        <v>8</v>
      </c>
      <c r="B695" s="23">
        <v>7</v>
      </c>
      <c r="C695" s="81">
        <v>4099</v>
      </c>
      <c r="D695" s="81">
        <v>1</v>
      </c>
      <c r="E695" s="70">
        <v>1</v>
      </c>
      <c r="F695" s="81" t="s">
        <v>474</v>
      </c>
      <c r="G695" s="81" t="s">
        <v>472</v>
      </c>
      <c r="H695" s="81">
        <v>1967</v>
      </c>
      <c r="I695" s="81" t="s">
        <v>473</v>
      </c>
    </row>
    <row r="696" spans="1:9" x14ac:dyDescent="0.3">
      <c r="A696" s="87">
        <v>8</v>
      </c>
      <c r="B696" s="23">
        <v>7</v>
      </c>
      <c r="C696" s="81">
        <v>4099</v>
      </c>
      <c r="D696" s="81">
        <v>1</v>
      </c>
      <c r="E696" s="70">
        <v>1</v>
      </c>
      <c r="F696" s="81" t="s">
        <v>474</v>
      </c>
      <c r="G696" s="81" t="s">
        <v>472</v>
      </c>
      <c r="H696" s="81">
        <v>1967</v>
      </c>
      <c r="I696" s="81" t="s">
        <v>473</v>
      </c>
    </row>
    <row r="697" spans="1:9" x14ac:dyDescent="0.3">
      <c r="A697" s="87">
        <v>8</v>
      </c>
      <c r="B697" s="23">
        <v>7</v>
      </c>
      <c r="C697" s="81">
        <v>4099</v>
      </c>
      <c r="D697" s="81">
        <v>1</v>
      </c>
      <c r="E697" s="70">
        <v>1</v>
      </c>
      <c r="F697" s="81" t="s">
        <v>474</v>
      </c>
      <c r="G697" s="81" t="s">
        <v>472</v>
      </c>
      <c r="H697" s="81">
        <v>1967</v>
      </c>
      <c r="I697" s="81" t="s">
        <v>473</v>
      </c>
    </row>
    <row r="698" spans="1:9" x14ac:dyDescent="0.3">
      <c r="A698" s="87">
        <v>8</v>
      </c>
      <c r="B698" s="23">
        <v>7</v>
      </c>
      <c r="C698" s="81">
        <v>4099</v>
      </c>
      <c r="D698" s="81">
        <v>1</v>
      </c>
      <c r="E698" s="70">
        <v>1</v>
      </c>
      <c r="F698" s="81" t="s">
        <v>474</v>
      </c>
      <c r="G698" s="81" t="s">
        <v>472</v>
      </c>
      <c r="H698" s="81">
        <v>1967</v>
      </c>
      <c r="I698" s="81" t="s">
        <v>473</v>
      </c>
    </row>
    <row r="699" spans="1:9" x14ac:dyDescent="0.3">
      <c r="A699" s="87">
        <v>8</v>
      </c>
      <c r="B699" s="23">
        <v>7</v>
      </c>
      <c r="C699" s="81">
        <v>4099</v>
      </c>
      <c r="D699" s="81">
        <v>1</v>
      </c>
      <c r="E699" s="70">
        <v>1</v>
      </c>
      <c r="F699" s="81" t="s">
        <v>474</v>
      </c>
      <c r="G699" s="81" t="s">
        <v>472</v>
      </c>
      <c r="H699" s="81">
        <v>1967</v>
      </c>
      <c r="I699" s="81" t="s">
        <v>473</v>
      </c>
    </row>
    <row r="700" spans="1:9" x14ac:dyDescent="0.3">
      <c r="A700" s="87">
        <v>8</v>
      </c>
      <c r="B700" s="23">
        <v>7</v>
      </c>
      <c r="C700" s="81">
        <v>4099</v>
      </c>
      <c r="D700" s="81">
        <v>1</v>
      </c>
      <c r="E700" s="70">
        <v>1</v>
      </c>
      <c r="F700" s="81" t="s">
        <v>474</v>
      </c>
      <c r="G700" s="81" t="s">
        <v>472</v>
      </c>
      <c r="H700" s="81">
        <v>1967</v>
      </c>
      <c r="I700" s="81" t="s">
        <v>473</v>
      </c>
    </row>
    <row r="701" spans="1:9" x14ac:dyDescent="0.3">
      <c r="A701" s="87">
        <v>8</v>
      </c>
      <c r="B701" s="23">
        <v>7</v>
      </c>
      <c r="C701" s="81">
        <v>4099</v>
      </c>
      <c r="D701" s="81">
        <v>1</v>
      </c>
      <c r="E701" s="70">
        <v>1</v>
      </c>
      <c r="F701" s="81" t="s">
        <v>474</v>
      </c>
      <c r="G701" s="81" t="s">
        <v>472</v>
      </c>
      <c r="H701" s="81">
        <v>1967</v>
      </c>
      <c r="I701" s="81" t="s">
        <v>473</v>
      </c>
    </row>
    <row r="702" spans="1:9" x14ac:dyDescent="0.3">
      <c r="A702" s="87">
        <v>8</v>
      </c>
      <c r="B702" s="23">
        <v>8</v>
      </c>
      <c r="C702" s="81">
        <v>4099</v>
      </c>
      <c r="D702" s="81">
        <v>1</v>
      </c>
      <c r="E702" s="70">
        <v>1</v>
      </c>
      <c r="F702" s="81" t="s">
        <v>474</v>
      </c>
      <c r="G702" s="81" t="s">
        <v>472</v>
      </c>
      <c r="H702" s="81">
        <v>1967</v>
      </c>
      <c r="I702" s="81" t="s">
        <v>473</v>
      </c>
    </row>
    <row r="703" spans="1:9" x14ac:dyDescent="0.3">
      <c r="A703" s="87">
        <v>8</v>
      </c>
      <c r="B703" s="23">
        <v>8</v>
      </c>
      <c r="C703" s="81">
        <v>4099</v>
      </c>
      <c r="D703" s="81">
        <v>1</v>
      </c>
      <c r="E703" s="70">
        <v>1</v>
      </c>
      <c r="F703" s="81" t="s">
        <v>474</v>
      </c>
      <c r="G703" s="81" t="s">
        <v>472</v>
      </c>
      <c r="H703" s="81">
        <v>1967</v>
      </c>
      <c r="I703" s="81" t="s">
        <v>473</v>
      </c>
    </row>
    <row r="704" spans="1:9" x14ac:dyDescent="0.3">
      <c r="A704" s="87">
        <v>8</v>
      </c>
      <c r="B704" s="23">
        <v>8</v>
      </c>
      <c r="C704" s="81">
        <v>4099</v>
      </c>
      <c r="D704" s="81">
        <v>1</v>
      </c>
      <c r="E704" s="70">
        <v>1</v>
      </c>
      <c r="F704" s="81" t="s">
        <v>474</v>
      </c>
      <c r="G704" s="81" t="s">
        <v>472</v>
      </c>
      <c r="H704" s="81">
        <v>1967</v>
      </c>
      <c r="I704" s="81" t="s">
        <v>473</v>
      </c>
    </row>
    <row r="705" spans="1:9" x14ac:dyDescent="0.3">
      <c r="A705" s="87">
        <v>8</v>
      </c>
      <c r="B705" s="23">
        <v>8</v>
      </c>
      <c r="C705" s="81">
        <v>4099</v>
      </c>
      <c r="D705" s="81">
        <v>1</v>
      </c>
      <c r="E705" s="70">
        <v>1</v>
      </c>
      <c r="F705" s="81" t="s">
        <v>474</v>
      </c>
      <c r="G705" s="81" t="s">
        <v>472</v>
      </c>
      <c r="H705" s="81">
        <v>1967</v>
      </c>
      <c r="I705" s="81" t="s">
        <v>473</v>
      </c>
    </row>
    <row r="706" spans="1:9" x14ac:dyDescent="0.3">
      <c r="A706" s="87">
        <v>8</v>
      </c>
      <c r="B706" s="23">
        <v>8</v>
      </c>
      <c r="C706" s="81">
        <v>4099</v>
      </c>
      <c r="D706" s="81">
        <v>1</v>
      </c>
      <c r="E706" s="70">
        <v>1</v>
      </c>
      <c r="F706" s="81" t="s">
        <v>474</v>
      </c>
      <c r="G706" s="81" t="s">
        <v>472</v>
      </c>
      <c r="H706" s="81">
        <v>1967</v>
      </c>
      <c r="I706" s="81" t="s">
        <v>473</v>
      </c>
    </row>
    <row r="707" spans="1:9" x14ac:dyDescent="0.3">
      <c r="A707" s="87">
        <v>8</v>
      </c>
      <c r="B707" s="23">
        <v>8</v>
      </c>
      <c r="C707" s="81">
        <v>4099</v>
      </c>
      <c r="D707" s="81">
        <v>1</v>
      </c>
      <c r="E707" s="70">
        <v>1</v>
      </c>
      <c r="F707" s="81" t="s">
        <v>474</v>
      </c>
      <c r="G707" s="81" t="s">
        <v>472</v>
      </c>
      <c r="H707" s="81">
        <v>1967</v>
      </c>
      <c r="I707" s="81" t="s">
        <v>473</v>
      </c>
    </row>
    <row r="708" spans="1:9" x14ac:dyDescent="0.3">
      <c r="A708" s="87">
        <v>8</v>
      </c>
      <c r="B708" s="23">
        <v>9</v>
      </c>
      <c r="C708" s="81">
        <v>4099</v>
      </c>
      <c r="D708" s="81">
        <v>1</v>
      </c>
      <c r="E708" s="70">
        <v>1</v>
      </c>
      <c r="F708" s="81" t="s">
        <v>474</v>
      </c>
      <c r="G708" s="81" t="s">
        <v>472</v>
      </c>
      <c r="H708" s="81">
        <v>1967</v>
      </c>
      <c r="I708" s="81" t="s">
        <v>473</v>
      </c>
    </row>
    <row r="709" spans="1:9" x14ac:dyDescent="0.3">
      <c r="A709" s="87">
        <v>8</v>
      </c>
      <c r="B709" s="23">
        <v>10</v>
      </c>
      <c r="C709" s="81">
        <v>4099</v>
      </c>
      <c r="D709" s="81">
        <v>1</v>
      </c>
      <c r="E709" s="70">
        <v>1</v>
      </c>
      <c r="F709" s="81" t="s">
        <v>474</v>
      </c>
      <c r="G709" s="81" t="s">
        <v>472</v>
      </c>
      <c r="H709" s="81">
        <v>1967</v>
      </c>
      <c r="I709" s="81" t="s">
        <v>473</v>
      </c>
    </row>
    <row r="710" spans="1:9" x14ac:dyDescent="0.3">
      <c r="A710" s="87">
        <v>8</v>
      </c>
      <c r="B710" s="23">
        <v>11</v>
      </c>
      <c r="C710" s="81">
        <v>4099</v>
      </c>
      <c r="D710" s="81">
        <v>1</v>
      </c>
      <c r="E710" s="70">
        <v>1</v>
      </c>
      <c r="F710" s="81" t="s">
        <v>474</v>
      </c>
      <c r="G710" s="81" t="s">
        <v>472</v>
      </c>
      <c r="H710" s="81">
        <v>1967</v>
      </c>
      <c r="I710" s="81" t="s">
        <v>473</v>
      </c>
    </row>
    <row r="711" spans="1:9" x14ac:dyDescent="0.3">
      <c r="A711" s="87">
        <v>9</v>
      </c>
      <c r="B711" s="23">
        <v>5</v>
      </c>
      <c r="C711" s="81">
        <v>4099</v>
      </c>
      <c r="D711" s="81">
        <v>1</v>
      </c>
      <c r="E711" s="70">
        <v>1</v>
      </c>
      <c r="F711" s="81" t="s">
        <v>474</v>
      </c>
      <c r="G711" s="81" t="s">
        <v>472</v>
      </c>
      <c r="H711" s="81">
        <v>1967</v>
      </c>
      <c r="I711" s="81" t="s">
        <v>473</v>
      </c>
    </row>
    <row r="712" spans="1:9" x14ac:dyDescent="0.3">
      <c r="A712" s="87">
        <v>9</v>
      </c>
      <c r="B712" s="23">
        <v>5</v>
      </c>
      <c r="C712" s="81">
        <v>4099</v>
      </c>
      <c r="D712" s="81">
        <v>1</v>
      </c>
      <c r="E712" s="70">
        <v>1</v>
      </c>
      <c r="F712" s="81" t="s">
        <v>474</v>
      </c>
      <c r="G712" s="81" t="s">
        <v>472</v>
      </c>
      <c r="H712" s="81">
        <v>1967</v>
      </c>
      <c r="I712" s="81" t="s">
        <v>473</v>
      </c>
    </row>
    <row r="713" spans="1:9" x14ac:dyDescent="0.3">
      <c r="A713" s="87">
        <v>9</v>
      </c>
      <c r="B713" s="23">
        <v>5</v>
      </c>
      <c r="C713" s="81">
        <v>4099</v>
      </c>
      <c r="D713" s="81">
        <v>1</v>
      </c>
      <c r="E713" s="70">
        <v>1</v>
      </c>
      <c r="F713" s="81" t="s">
        <v>474</v>
      </c>
      <c r="G713" s="81" t="s">
        <v>472</v>
      </c>
      <c r="H713" s="81">
        <v>1967</v>
      </c>
      <c r="I713" s="81" t="s">
        <v>473</v>
      </c>
    </row>
    <row r="714" spans="1:9" x14ac:dyDescent="0.3">
      <c r="A714" s="87">
        <v>9</v>
      </c>
      <c r="B714" s="23">
        <v>7</v>
      </c>
      <c r="C714" s="81">
        <v>4099</v>
      </c>
      <c r="D714" s="81">
        <v>1</v>
      </c>
      <c r="E714" s="70">
        <v>1</v>
      </c>
      <c r="F714" s="81" t="s">
        <v>474</v>
      </c>
      <c r="G714" s="81" t="s">
        <v>472</v>
      </c>
      <c r="H714" s="81">
        <v>1967</v>
      </c>
      <c r="I714" s="81" t="s">
        <v>473</v>
      </c>
    </row>
    <row r="715" spans="1:9" x14ac:dyDescent="0.3">
      <c r="A715" s="87">
        <v>9</v>
      </c>
      <c r="B715" s="23">
        <v>7</v>
      </c>
      <c r="C715" s="81">
        <v>4099</v>
      </c>
      <c r="D715" s="81">
        <v>1</v>
      </c>
      <c r="E715" s="70">
        <v>1</v>
      </c>
      <c r="F715" s="81" t="s">
        <v>474</v>
      </c>
      <c r="G715" s="81" t="s">
        <v>472</v>
      </c>
      <c r="H715" s="81">
        <v>1967</v>
      </c>
      <c r="I715" s="81" t="s">
        <v>473</v>
      </c>
    </row>
    <row r="716" spans="1:9" x14ac:dyDescent="0.3">
      <c r="A716" s="87">
        <v>9</v>
      </c>
      <c r="B716" s="23">
        <v>7</v>
      </c>
      <c r="C716" s="81">
        <v>4099</v>
      </c>
      <c r="D716" s="81">
        <v>1</v>
      </c>
      <c r="E716" s="70">
        <v>1</v>
      </c>
      <c r="F716" s="81" t="s">
        <v>474</v>
      </c>
      <c r="G716" s="81" t="s">
        <v>472</v>
      </c>
      <c r="H716" s="81">
        <v>1967</v>
      </c>
      <c r="I716" s="81" t="s">
        <v>473</v>
      </c>
    </row>
    <row r="717" spans="1:9" x14ac:dyDescent="0.3">
      <c r="A717" s="87">
        <v>9</v>
      </c>
      <c r="B717" s="23">
        <v>7</v>
      </c>
      <c r="C717" s="81">
        <v>4099</v>
      </c>
      <c r="D717" s="81">
        <v>1</v>
      </c>
      <c r="E717" s="70">
        <v>1</v>
      </c>
      <c r="F717" s="81" t="s">
        <v>474</v>
      </c>
      <c r="G717" s="81" t="s">
        <v>472</v>
      </c>
      <c r="H717" s="81">
        <v>1967</v>
      </c>
      <c r="I717" s="81" t="s">
        <v>473</v>
      </c>
    </row>
    <row r="718" spans="1:9" x14ac:dyDescent="0.3">
      <c r="A718" s="87">
        <v>9</v>
      </c>
      <c r="B718" s="87">
        <v>7</v>
      </c>
      <c r="C718" s="81">
        <v>4099</v>
      </c>
      <c r="D718" s="81">
        <v>1</v>
      </c>
      <c r="E718" s="70">
        <v>1</v>
      </c>
      <c r="F718" s="81" t="s">
        <v>474</v>
      </c>
      <c r="G718" s="81" t="s">
        <v>472</v>
      </c>
      <c r="H718" s="81">
        <v>1967</v>
      </c>
      <c r="I718" s="81" t="s">
        <v>473</v>
      </c>
    </row>
    <row r="719" spans="1:9" x14ac:dyDescent="0.3">
      <c r="A719" s="87">
        <v>9</v>
      </c>
      <c r="B719" s="87">
        <v>7</v>
      </c>
      <c r="C719" s="81">
        <v>4099</v>
      </c>
      <c r="D719" s="81">
        <v>1</v>
      </c>
      <c r="E719" s="70">
        <v>1</v>
      </c>
      <c r="F719" s="81" t="s">
        <v>474</v>
      </c>
      <c r="G719" s="81" t="s">
        <v>472</v>
      </c>
      <c r="H719" s="81">
        <v>1967</v>
      </c>
      <c r="I719" s="81" t="s">
        <v>473</v>
      </c>
    </row>
    <row r="720" spans="1:9" x14ac:dyDescent="0.3">
      <c r="A720" s="87">
        <v>9</v>
      </c>
      <c r="B720" s="87">
        <v>7</v>
      </c>
      <c r="C720" s="81">
        <v>4099</v>
      </c>
      <c r="D720" s="81">
        <v>1</v>
      </c>
      <c r="E720" s="70">
        <v>1</v>
      </c>
      <c r="F720" s="81" t="s">
        <v>474</v>
      </c>
      <c r="G720" s="81" t="s">
        <v>472</v>
      </c>
      <c r="H720" s="81">
        <v>1967</v>
      </c>
      <c r="I720" s="81" t="s">
        <v>473</v>
      </c>
    </row>
    <row r="721" spans="1:9" x14ac:dyDescent="0.3">
      <c r="A721" s="87">
        <v>9</v>
      </c>
      <c r="B721" s="87">
        <v>7</v>
      </c>
      <c r="C721" s="81">
        <v>4099</v>
      </c>
      <c r="D721" s="81">
        <v>1</v>
      </c>
      <c r="E721" s="70">
        <v>1</v>
      </c>
      <c r="F721" s="81" t="s">
        <v>474</v>
      </c>
      <c r="G721" s="81" t="s">
        <v>472</v>
      </c>
      <c r="H721" s="81">
        <v>1967</v>
      </c>
      <c r="I721" s="81" t="s">
        <v>473</v>
      </c>
    </row>
    <row r="722" spans="1:9" x14ac:dyDescent="0.3">
      <c r="A722" s="87">
        <v>9</v>
      </c>
      <c r="B722" s="87">
        <v>7</v>
      </c>
      <c r="C722" s="81">
        <v>4099</v>
      </c>
      <c r="D722" s="81">
        <v>1</v>
      </c>
      <c r="E722" s="70">
        <v>1</v>
      </c>
      <c r="F722" s="81" t="s">
        <v>474</v>
      </c>
      <c r="G722" s="81" t="s">
        <v>472</v>
      </c>
      <c r="H722" s="81">
        <v>1967</v>
      </c>
      <c r="I722" s="81" t="s">
        <v>473</v>
      </c>
    </row>
    <row r="723" spans="1:9" x14ac:dyDescent="0.3">
      <c r="A723" s="87">
        <v>9</v>
      </c>
      <c r="B723" s="87">
        <v>8</v>
      </c>
      <c r="C723" s="81">
        <v>4099</v>
      </c>
      <c r="D723" s="81">
        <v>1</v>
      </c>
      <c r="E723" s="70">
        <v>1</v>
      </c>
      <c r="F723" s="81" t="s">
        <v>474</v>
      </c>
      <c r="G723" s="81" t="s">
        <v>472</v>
      </c>
      <c r="H723" s="81">
        <v>1967</v>
      </c>
      <c r="I723" s="81" t="s">
        <v>473</v>
      </c>
    </row>
    <row r="724" spans="1:9" x14ac:dyDescent="0.3">
      <c r="A724" s="87">
        <v>9</v>
      </c>
      <c r="B724" s="23">
        <v>8</v>
      </c>
      <c r="C724" s="81">
        <v>4099</v>
      </c>
      <c r="D724" s="81">
        <v>1</v>
      </c>
      <c r="E724" s="70">
        <v>1</v>
      </c>
      <c r="F724" s="81" t="s">
        <v>474</v>
      </c>
      <c r="G724" s="81" t="s">
        <v>472</v>
      </c>
      <c r="H724" s="81">
        <v>1967</v>
      </c>
      <c r="I724" s="81" t="s">
        <v>473</v>
      </c>
    </row>
    <row r="725" spans="1:9" x14ac:dyDescent="0.3">
      <c r="A725" s="87">
        <v>9</v>
      </c>
      <c r="B725" s="87">
        <v>8</v>
      </c>
      <c r="C725" s="81">
        <v>4099</v>
      </c>
      <c r="D725" s="81">
        <v>1</v>
      </c>
      <c r="E725" s="70">
        <v>1</v>
      </c>
      <c r="F725" s="81" t="s">
        <v>474</v>
      </c>
      <c r="G725" s="81" t="s">
        <v>472</v>
      </c>
      <c r="H725" s="81">
        <v>1967</v>
      </c>
      <c r="I725" s="81" t="s">
        <v>473</v>
      </c>
    </row>
    <row r="726" spans="1:9" x14ac:dyDescent="0.3">
      <c r="A726" s="87">
        <v>9</v>
      </c>
      <c r="B726" s="87">
        <v>8</v>
      </c>
      <c r="C726" s="81">
        <v>4099</v>
      </c>
      <c r="D726" s="81">
        <v>1</v>
      </c>
      <c r="E726" s="70">
        <v>1</v>
      </c>
      <c r="F726" s="81" t="s">
        <v>474</v>
      </c>
      <c r="G726" s="81" t="s">
        <v>472</v>
      </c>
      <c r="H726" s="81">
        <v>1967</v>
      </c>
      <c r="I726" s="81" t="s">
        <v>473</v>
      </c>
    </row>
    <row r="727" spans="1:9" x14ac:dyDescent="0.3">
      <c r="A727" s="87">
        <v>9</v>
      </c>
      <c r="B727" s="87">
        <v>8</v>
      </c>
      <c r="C727" s="81">
        <v>4099</v>
      </c>
      <c r="D727" s="81">
        <v>1</v>
      </c>
      <c r="E727" s="70">
        <v>1</v>
      </c>
      <c r="F727" s="81" t="s">
        <v>474</v>
      </c>
      <c r="G727" s="81" t="s">
        <v>472</v>
      </c>
      <c r="H727" s="81">
        <v>1967</v>
      </c>
      <c r="I727" s="81" t="s">
        <v>473</v>
      </c>
    </row>
    <row r="728" spans="1:9" x14ac:dyDescent="0.3">
      <c r="A728" s="87">
        <v>9</v>
      </c>
      <c r="B728" s="87">
        <v>8</v>
      </c>
      <c r="C728" s="81">
        <v>4099</v>
      </c>
      <c r="D728" s="81">
        <v>1</v>
      </c>
      <c r="E728" s="70">
        <v>1</v>
      </c>
      <c r="F728" s="81" t="s">
        <v>474</v>
      </c>
      <c r="G728" s="81" t="s">
        <v>472</v>
      </c>
      <c r="H728" s="81">
        <v>1967</v>
      </c>
      <c r="I728" s="81" t="s">
        <v>473</v>
      </c>
    </row>
    <row r="729" spans="1:9" x14ac:dyDescent="0.3">
      <c r="A729" s="87">
        <v>9</v>
      </c>
      <c r="B729" s="23">
        <v>8</v>
      </c>
      <c r="C729" s="81">
        <v>4099</v>
      </c>
      <c r="D729" s="81">
        <v>1</v>
      </c>
      <c r="E729" s="70">
        <v>1</v>
      </c>
      <c r="F729" s="81" t="s">
        <v>474</v>
      </c>
      <c r="G729" s="81" t="s">
        <v>472</v>
      </c>
      <c r="H729" s="81">
        <v>1967</v>
      </c>
      <c r="I729" s="81" t="s">
        <v>473</v>
      </c>
    </row>
    <row r="730" spans="1:9" x14ac:dyDescent="0.3">
      <c r="A730" s="87">
        <v>9</v>
      </c>
      <c r="B730" s="23">
        <v>8</v>
      </c>
      <c r="C730" s="81">
        <v>4099</v>
      </c>
      <c r="D730" s="81">
        <v>1</v>
      </c>
      <c r="E730" s="70">
        <v>1</v>
      </c>
      <c r="F730" s="81" t="s">
        <v>474</v>
      </c>
      <c r="G730" s="81" t="s">
        <v>472</v>
      </c>
      <c r="H730" s="81">
        <v>1967</v>
      </c>
      <c r="I730" s="81" t="s">
        <v>473</v>
      </c>
    </row>
    <row r="731" spans="1:9" x14ac:dyDescent="0.3">
      <c r="A731" s="87">
        <v>9</v>
      </c>
      <c r="B731" s="23">
        <v>8</v>
      </c>
      <c r="C731" s="81">
        <v>4099</v>
      </c>
      <c r="D731" s="81">
        <v>1</v>
      </c>
      <c r="E731" s="70">
        <v>1</v>
      </c>
      <c r="F731" s="81" t="s">
        <v>474</v>
      </c>
      <c r="G731" s="81" t="s">
        <v>472</v>
      </c>
      <c r="H731" s="81">
        <v>1967</v>
      </c>
      <c r="I731" s="81" t="s">
        <v>473</v>
      </c>
    </row>
    <row r="732" spans="1:9" x14ac:dyDescent="0.3">
      <c r="A732" s="87">
        <v>9</v>
      </c>
      <c r="B732" s="23">
        <v>8</v>
      </c>
      <c r="C732" s="81">
        <v>4099</v>
      </c>
      <c r="D732" s="81">
        <v>1</v>
      </c>
      <c r="E732" s="70">
        <v>1</v>
      </c>
      <c r="F732" s="81" t="s">
        <v>474</v>
      </c>
      <c r="G732" s="81" t="s">
        <v>472</v>
      </c>
      <c r="H732" s="81">
        <v>1967</v>
      </c>
      <c r="I732" s="81" t="s">
        <v>473</v>
      </c>
    </row>
    <row r="733" spans="1:9" x14ac:dyDescent="0.3">
      <c r="A733" s="87">
        <v>9</v>
      </c>
      <c r="B733" s="23">
        <v>9</v>
      </c>
      <c r="C733" s="81">
        <v>4099</v>
      </c>
      <c r="D733" s="81">
        <v>1</v>
      </c>
      <c r="E733" s="70">
        <v>1</v>
      </c>
      <c r="F733" s="81" t="s">
        <v>474</v>
      </c>
      <c r="G733" s="81" t="s">
        <v>472</v>
      </c>
      <c r="H733" s="81">
        <v>1967</v>
      </c>
      <c r="I733" s="81" t="s">
        <v>473</v>
      </c>
    </row>
    <row r="734" spans="1:9" x14ac:dyDescent="0.3">
      <c r="A734" s="87">
        <v>9</v>
      </c>
      <c r="B734" s="23">
        <v>9</v>
      </c>
      <c r="C734" s="81">
        <v>4099</v>
      </c>
      <c r="D734" s="81">
        <v>1</v>
      </c>
      <c r="E734" s="70">
        <v>1</v>
      </c>
      <c r="F734" s="81" t="s">
        <v>474</v>
      </c>
      <c r="G734" s="81" t="s">
        <v>472</v>
      </c>
      <c r="H734" s="81">
        <v>1967</v>
      </c>
      <c r="I734" s="81" t="s">
        <v>473</v>
      </c>
    </row>
    <row r="735" spans="1:9" x14ac:dyDescent="0.3">
      <c r="A735" s="87">
        <v>9</v>
      </c>
      <c r="B735" s="23">
        <v>9</v>
      </c>
      <c r="C735" s="81">
        <v>4099</v>
      </c>
      <c r="D735" s="81">
        <v>1</v>
      </c>
      <c r="E735" s="70">
        <v>1</v>
      </c>
      <c r="F735" s="81" t="s">
        <v>474</v>
      </c>
      <c r="G735" s="81" t="s">
        <v>472</v>
      </c>
      <c r="H735" s="81">
        <v>1967</v>
      </c>
      <c r="I735" s="81" t="s">
        <v>473</v>
      </c>
    </row>
    <row r="736" spans="1:9" x14ac:dyDescent="0.3">
      <c r="A736" s="87">
        <v>9</v>
      </c>
      <c r="B736" s="23">
        <v>9</v>
      </c>
      <c r="C736" s="81">
        <v>4099</v>
      </c>
      <c r="D736" s="81">
        <v>1</v>
      </c>
      <c r="E736" s="70">
        <v>1</v>
      </c>
      <c r="F736" s="81" t="s">
        <v>474</v>
      </c>
      <c r="G736" s="81" t="s">
        <v>472</v>
      </c>
      <c r="H736" s="81">
        <v>1967</v>
      </c>
      <c r="I736" s="81" t="s">
        <v>473</v>
      </c>
    </row>
    <row r="737" spans="1:9" x14ac:dyDescent="0.3">
      <c r="A737" s="87">
        <v>9</v>
      </c>
      <c r="B737" s="23">
        <v>9</v>
      </c>
      <c r="C737" s="81">
        <v>4099</v>
      </c>
      <c r="D737" s="81">
        <v>1</v>
      </c>
      <c r="E737" s="70">
        <v>1</v>
      </c>
      <c r="F737" s="81" t="s">
        <v>474</v>
      </c>
      <c r="G737" s="81" t="s">
        <v>472</v>
      </c>
      <c r="H737" s="81">
        <v>1967</v>
      </c>
      <c r="I737" s="81" t="s">
        <v>473</v>
      </c>
    </row>
    <row r="738" spans="1:9" x14ac:dyDescent="0.3">
      <c r="A738" s="87">
        <v>9</v>
      </c>
      <c r="B738" s="23">
        <v>10</v>
      </c>
      <c r="C738" s="81">
        <v>4099</v>
      </c>
      <c r="D738" s="81">
        <v>1</v>
      </c>
      <c r="E738" s="70">
        <v>1</v>
      </c>
      <c r="F738" s="81" t="s">
        <v>474</v>
      </c>
      <c r="G738" s="81" t="s">
        <v>472</v>
      </c>
      <c r="H738" s="81">
        <v>1967</v>
      </c>
      <c r="I738" s="81" t="s">
        <v>473</v>
      </c>
    </row>
    <row r="739" spans="1:9" x14ac:dyDescent="0.3">
      <c r="A739" s="87">
        <v>9</v>
      </c>
      <c r="B739" s="23">
        <v>10</v>
      </c>
      <c r="C739" s="81">
        <v>4099</v>
      </c>
      <c r="D739" s="81">
        <v>1</v>
      </c>
      <c r="E739" s="70">
        <v>1</v>
      </c>
      <c r="F739" s="81" t="s">
        <v>474</v>
      </c>
      <c r="G739" s="81" t="s">
        <v>472</v>
      </c>
      <c r="H739" s="81">
        <v>1967</v>
      </c>
      <c r="I739" s="81" t="s">
        <v>473</v>
      </c>
    </row>
    <row r="740" spans="1:9" x14ac:dyDescent="0.3">
      <c r="A740" s="87">
        <v>9</v>
      </c>
      <c r="B740" s="23">
        <v>11</v>
      </c>
      <c r="C740" s="81">
        <v>4099</v>
      </c>
      <c r="D740" s="81">
        <v>1</v>
      </c>
      <c r="E740" s="70">
        <v>1</v>
      </c>
      <c r="F740" s="81" t="s">
        <v>474</v>
      </c>
      <c r="G740" s="81" t="s">
        <v>472</v>
      </c>
      <c r="H740" s="81">
        <v>1967</v>
      </c>
      <c r="I740" s="81" t="s">
        <v>473</v>
      </c>
    </row>
    <row r="741" spans="1:9" x14ac:dyDescent="0.3">
      <c r="A741" s="87">
        <v>10</v>
      </c>
      <c r="B741" s="23">
        <v>6</v>
      </c>
      <c r="C741" s="81">
        <v>4099</v>
      </c>
      <c r="D741" s="81">
        <v>1</v>
      </c>
      <c r="E741" s="70">
        <v>1</v>
      </c>
      <c r="F741" s="81" t="s">
        <v>474</v>
      </c>
      <c r="G741" s="81" t="s">
        <v>472</v>
      </c>
      <c r="H741" s="81">
        <v>1967</v>
      </c>
      <c r="I741" s="81" t="s">
        <v>473</v>
      </c>
    </row>
    <row r="742" spans="1:9" x14ac:dyDescent="0.3">
      <c r="A742" s="87">
        <v>10</v>
      </c>
      <c r="B742" s="23">
        <v>6</v>
      </c>
      <c r="C742" s="81">
        <v>4099</v>
      </c>
      <c r="D742" s="81">
        <v>1</v>
      </c>
      <c r="E742" s="70">
        <v>1</v>
      </c>
      <c r="F742" s="81" t="s">
        <v>474</v>
      </c>
      <c r="G742" s="81" t="s">
        <v>472</v>
      </c>
      <c r="H742" s="81">
        <v>1967</v>
      </c>
      <c r="I742" s="81" t="s">
        <v>473</v>
      </c>
    </row>
    <row r="743" spans="1:9" x14ac:dyDescent="0.3">
      <c r="A743" s="87">
        <v>10</v>
      </c>
      <c r="B743" s="23">
        <v>6</v>
      </c>
      <c r="C743" s="81">
        <v>4099</v>
      </c>
      <c r="D743" s="81">
        <v>1</v>
      </c>
      <c r="E743" s="70">
        <v>1</v>
      </c>
      <c r="F743" s="81" t="s">
        <v>474</v>
      </c>
      <c r="G743" s="81" t="s">
        <v>472</v>
      </c>
      <c r="H743" s="81">
        <v>1967</v>
      </c>
      <c r="I743" s="81" t="s">
        <v>473</v>
      </c>
    </row>
    <row r="744" spans="1:9" x14ac:dyDescent="0.3">
      <c r="A744" s="87">
        <v>10</v>
      </c>
      <c r="B744" s="23">
        <v>6</v>
      </c>
      <c r="C744" s="81">
        <v>4099</v>
      </c>
      <c r="D744" s="81">
        <v>1</v>
      </c>
      <c r="E744" s="70">
        <v>1</v>
      </c>
      <c r="F744" s="81" t="s">
        <v>474</v>
      </c>
      <c r="G744" s="81" t="s">
        <v>472</v>
      </c>
      <c r="H744" s="81">
        <v>1967</v>
      </c>
      <c r="I744" s="81" t="s">
        <v>473</v>
      </c>
    </row>
    <row r="745" spans="1:9" x14ac:dyDescent="0.3">
      <c r="A745" s="87">
        <v>10</v>
      </c>
      <c r="B745" s="23">
        <v>6</v>
      </c>
      <c r="C745" s="81">
        <v>4099</v>
      </c>
      <c r="D745" s="81">
        <v>1</v>
      </c>
      <c r="E745" s="70">
        <v>1</v>
      </c>
      <c r="F745" s="81" t="s">
        <v>474</v>
      </c>
      <c r="G745" s="81" t="s">
        <v>472</v>
      </c>
      <c r="H745" s="81">
        <v>1967</v>
      </c>
      <c r="I745" s="81" t="s">
        <v>473</v>
      </c>
    </row>
    <row r="746" spans="1:9" x14ac:dyDescent="0.3">
      <c r="A746" s="87">
        <v>10</v>
      </c>
      <c r="B746" s="23">
        <v>7</v>
      </c>
      <c r="C746" s="81">
        <v>4099</v>
      </c>
      <c r="D746" s="81">
        <v>1</v>
      </c>
      <c r="E746" s="70">
        <v>1</v>
      </c>
      <c r="F746" s="81" t="s">
        <v>474</v>
      </c>
      <c r="G746" s="81" t="s">
        <v>472</v>
      </c>
      <c r="H746" s="81">
        <v>1967</v>
      </c>
      <c r="I746" s="81" t="s">
        <v>473</v>
      </c>
    </row>
    <row r="747" spans="1:9" x14ac:dyDescent="0.3">
      <c r="A747" s="87">
        <v>10</v>
      </c>
      <c r="B747" s="23">
        <v>7</v>
      </c>
      <c r="C747" s="81">
        <v>4099</v>
      </c>
      <c r="D747" s="81">
        <v>1</v>
      </c>
      <c r="E747" s="70">
        <v>1</v>
      </c>
      <c r="F747" s="81" t="s">
        <v>474</v>
      </c>
      <c r="G747" s="81" t="s">
        <v>472</v>
      </c>
      <c r="H747" s="81">
        <v>1967</v>
      </c>
      <c r="I747" s="81" t="s">
        <v>473</v>
      </c>
    </row>
    <row r="748" spans="1:9" x14ac:dyDescent="0.3">
      <c r="A748" s="87">
        <v>10</v>
      </c>
      <c r="B748" s="23">
        <v>7</v>
      </c>
      <c r="C748" s="81">
        <v>4099</v>
      </c>
      <c r="D748" s="81">
        <v>1</v>
      </c>
      <c r="E748" s="70">
        <v>1</v>
      </c>
      <c r="F748" s="81" t="s">
        <v>474</v>
      </c>
      <c r="G748" s="81" t="s">
        <v>472</v>
      </c>
      <c r="H748" s="81">
        <v>1967</v>
      </c>
      <c r="I748" s="81" t="s">
        <v>473</v>
      </c>
    </row>
    <row r="749" spans="1:9" x14ac:dyDescent="0.3">
      <c r="A749" s="23">
        <v>10</v>
      </c>
      <c r="B749" s="23">
        <v>7</v>
      </c>
      <c r="C749" s="81">
        <v>4099</v>
      </c>
      <c r="D749" s="81">
        <v>1</v>
      </c>
      <c r="E749" s="70">
        <v>1</v>
      </c>
      <c r="F749" s="81" t="s">
        <v>474</v>
      </c>
      <c r="G749" s="81" t="s">
        <v>472</v>
      </c>
      <c r="H749" s="81">
        <v>1967</v>
      </c>
      <c r="I749" s="81" t="s">
        <v>473</v>
      </c>
    </row>
    <row r="750" spans="1:9" x14ac:dyDescent="0.3">
      <c r="A750" s="23">
        <v>10</v>
      </c>
      <c r="B750" s="23">
        <v>7</v>
      </c>
      <c r="C750" s="81">
        <v>4099</v>
      </c>
      <c r="D750" s="81">
        <v>1</v>
      </c>
      <c r="E750" s="70">
        <v>1</v>
      </c>
      <c r="F750" s="81" t="s">
        <v>474</v>
      </c>
      <c r="G750" s="81" t="s">
        <v>472</v>
      </c>
      <c r="H750" s="81">
        <v>1967</v>
      </c>
      <c r="I750" s="81" t="s">
        <v>473</v>
      </c>
    </row>
    <row r="751" spans="1:9" x14ac:dyDescent="0.3">
      <c r="A751" s="87">
        <v>10</v>
      </c>
      <c r="B751" s="23">
        <v>7</v>
      </c>
      <c r="C751" s="81">
        <v>4099</v>
      </c>
      <c r="D751" s="81">
        <v>1</v>
      </c>
      <c r="E751" s="70">
        <v>1</v>
      </c>
      <c r="F751" s="81" t="s">
        <v>474</v>
      </c>
      <c r="G751" s="81" t="s">
        <v>472</v>
      </c>
      <c r="H751" s="81">
        <v>1967</v>
      </c>
      <c r="I751" s="81" t="s">
        <v>473</v>
      </c>
    </row>
    <row r="752" spans="1:9" x14ac:dyDescent="0.3">
      <c r="A752" s="87">
        <v>10</v>
      </c>
      <c r="B752" s="23">
        <v>7</v>
      </c>
      <c r="C752" s="81">
        <v>4099</v>
      </c>
      <c r="D752" s="81">
        <v>1</v>
      </c>
      <c r="E752" s="70">
        <v>1</v>
      </c>
      <c r="F752" s="81" t="s">
        <v>474</v>
      </c>
      <c r="G752" s="81" t="s">
        <v>472</v>
      </c>
      <c r="H752" s="81">
        <v>1967</v>
      </c>
      <c r="I752" s="81" t="s">
        <v>473</v>
      </c>
    </row>
    <row r="753" spans="1:9" x14ac:dyDescent="0.3">
      <c r="A753" s="87">
        <v>10</v>
      </c>
      <c r="B753" s="23">
        <v>7</v>
      </c>
      <c r="C753" s="81">
        <v>4099</v>
      </c>
      <c r="D753" s="81">
        <v>1</v>
      </c>
      <c r="E753" s="70">
        <v>1</v>
      </c>
      <c r="F753" s="81" t="s">
        <v>474</v>
      </c>
      <c r="G753" s="81" t="s">
        <v>472</v>
      </c>
      <c r="H753" s="81">
        <v>1967</v>
      </c>
      <c r="I753" s="81" t="s">
        <v>473</v>
      </c>
    </row>
    <row r="754" spans="1:9" x14ac:dyDescent="0.3">
      <c r="A754" s="87">
        <v>10</v>
      </c>
      <c r="B754" s="23">
        <v>8</v>
      </c>
      <c r="C754" s="81">
        <v>4099</v>
      </c>
      <c r="D754" s="81">
        <v>1</v>
      </c>
      <c r="E754" s="70">
        <v>1</v>
      </c>
      <c r="F754" s="81" t="s">
        <v>474</v>
      </c>
      <c r="G754" s="81" t="s">
        <v>472</v>
      </c>
      <c r="H754" s="81">
        <v>1967</v>
      </c>
      <c r="I754" s="81" t="s">
        <v>473</v>
      </c>
    </row>
    <row r="755" spans="1:9" x14ac:dyDescent="0.3">
      <c r="A755" s="87">
        <v>10</v>
      </c>
      <c r="B755" s="23">
        <v>8</v>
      </c>
      <c r="C755" s="81">
        <v>4099</v>
      </c>
      <c r="D755" s="81">
        <v>1</v>
      </c>
      <c r="E755" s="70">
        <v>1</v>
      </c>
      <c r="F755" s="81" t="s">
        <v>474</v>
      </c>
      <c r="G755" s="81" t="s">
        <v>472</v>
      </c>
      <c r="H755" s="81">
        <v>1967</v>
      </c>
      <c r="I755" s="81" t="s">
        <v>473</v>
      </c>
    </row>
    <row r="756" spans="1:9" x14ac:dyDescent="0.3">
      <c r="A756" s="87">
        <v>10</v>
      </c>
      <c r="B756" s="23">
        <v>8</v>
      </c>
      <c r="C756" s="81">
        <v>4099</v>
      </c>
      <c r="D756" s="81">
        <v>1</v>
      </c>
      <c r="E756" s="70">
        <v>1</v>
      </c>
      <c r="F756" s="81" t="s">
        <v>474</v>
      </c>
      <c r="G756" s="81" t="s">
        <v>472</v>
      </c>
      <c r="H756" s="81">
        <v>1967</v>
      </c>
      <c r="I756" s="81" t="s">
        <v>473</v>
      </c>
    </row>
    <row r="757" spans="1:9" x14ac:dyDescent="0.3">
      <c r="A757" s="87">
        <v>10</v>
      </c>
      <c r="B757" s="23">
        <v>8</v>
      </c>
      <c r="C757" s="81">
        <v>4099</v>
      </c>
      <c r="D757" s="81">
        <v>1</v>
      </c>
      <c r="E757" s="70">
        <v>1</v>
      </c>
      <c r="F757" s="81" t="s">
        <v>474</v>
      </c>
      <c r="G757" s="81" t="s">
        <v>472</v>
      </c>
      <c r="H757" s="81">
        <v>1967</v>
      </c>
      <c r="I757" s="81" t="s">
        <v>473</v>
      </c>
    </row>
    <row r="758" spans="1:9" x14ac:dyDescent="0.3">
      <c r="A758" s="87">
        <v>10</v>
      </c>
      <c r="B758" s="23">
        <v>8</v>
      </c>
      <c r="C758" s="81">
        <v>4099</v>
      </c>
      <c r="D758" s="81">
        <v>1</v>
      </c>
      <c r="E758" s="70">
        <v>1</v>
      </c>
      <c r="F758" s="81" t="s">
        <v>474</v>
      </c>
      <c r="G758" s="81" t="s">
        <v>472</v>
      </c>
      <c r="H758" s="81">
        <v>1967</v>
      </c>
      <c r="I758" s="81" t="s">
        <v>473</v>
      </c>
    </row>
    <row r="759" spans="1:9" x14ac:dyDescent="0.3">
      <c r="A759" s="87">
        <v>10</v>
      </c>
      <c r="B759" s="23">
        <v>8</v>
      </c>
      <c r="C759" s="81">
        <v>4099</v>
      </c>
      <c r="D759" s="81">
        <v>1</v>
      </c>
      <c r="E759" s="70">
        <v>1</v>
      </c>
      <c r="F759" s="81" t="s">
        <v>474</v>
      </c>
      <c r="G759" s="81" t="s">
        <v>472</v>
      </c>
      <c r="H759" s="81">
        <v>1967</v>
      </c>
      <c r="I759" s="81" t="s">
        <v>473</v>
      </c>
    </row>
    <row r="760" spans="1:9" x14ac:dyDescent="0.3">
      <c r="A760" s="87">
        <v>10</v>
      </c>
      <c r="B760" s="23">
        <v>9</v>
      </c>
      <c r="C760" s="81">
        <v>4099</v>
      </c>
      <c r="D760" s="81">
        <v>1</v>
      </c>
      <c r="E760" s="70">
        <v>1</v>
      </c>
      <c r="F760" s="81" t="s">
        <v>474</v>
      </c>
      <c r="G760" s="81" t="s">
        <v>472</v>
      </c>
      <c r="H760" s="81">
        <v>1967</v>
      </c>
      <c r="I760" s="81" t="s">
        <v>473</v>
      </c>
    </row>
    <row r="761" spans="1:9" x14ac:dyDescent="0.3">
      <c r="A761" s="87">
        <v>10</v>
      </c>
      <c r="B761" s="23">
        <v>9</v>
      </c>
      <c r="C761" s="81">
        <v>4099</v>
      </c>
      <c r="D761" s="81">
        <v>1</v>
      </c>
      <c r="E761" s="70">
        <v>1</v>
      </c>
      <c r="F761" s="81" t="s">
        <v>474</v>
      </c>
      <c r="G761" s="81" t="s">
        <v>472</v>
      </c>
      <c r="H761" s="81">
        <v>1967</v>
      </c>
      <c r="I761" s="81" t="s">
        <v>473</v>
      </c>
    </row>
    <row r="762" spans="1:9" x14ac:dyDescent="0.3">
      <c r="A762" s="87">
        <v>10</v>
      </c>
      <c r="B762" s="23">
        <v>9</v>
      </c>
      <c r="C762" s="81">
        <v>4099</v>
      </c>
      <c r="D762" s="81">
        <v>1</v>
      </c>
      <c r="E762" s="70">
        <v>1</v>
      </c>
      <c r="F762" s="81" t="s">
        <v>474</v>
      </c>
      <c r="G762" s="81" t="s">
        <v>472</v>
      </c>
      <c r="H762" s="81">
        <v>1967</v>
      </c>
      <c r="I762" s="81" t="s">
        <v>473</v>
      </c>
    </row>
    <row r="763" spans="1:9" x14ac:dyDescent="0.3">
      <c r="A763" s="87">
        <v>10</v>
      </c>
      <c r="B763" s="23">
        <v>9</v>
      </c>
      <c r="C763" s="81">
        <v>4099</v>
      </c>
      <c r="D763" s="81">
        <v>1</v>
      </c>
      <c r="E763" s="70">
        <v>1</v>
      </c>
      <c r="F763" s="81" t="s">
        <v>474</v>
      </c>
      <c r="G763" s="81" t="s">
        <v>472</v>
      </c>
      <c r="H763" s="81">
        <v>1967</v>
      </c>
      <c r="I763" s="81" t="s">
        <v>473</v>
      </c>
    </row>
    <row r="764" spans="1:9" x14ac:dyDescent="0.3">
      <c r="A764" s="87">
        <v>10</v>
      </c>
      <c r="B764" s="23">
        <v>9</v>
      </c>
      <c r="C764" s="81">
        <v>4099</v>
      </c>
      <c r="D764" s="81">
        <v>1</v>
      </c>
      <c r="E764" s="70">
        <v>1</v>
      </c>
      <c r="F764" s="81" t="s">
        <v>474</v>
      </c>
      <c r="G764" s="81" t="s">
        <v>472</v>
      </c>
      <c r="H764" s="81">
        <v>1967</v>
      </c>
      <c r="I764" s="81" t="s">
        <v>473</v>
      </c>
    </row>
    <row r="765" spans="1:9" x14ac:dyDescent="0.3">
      <c r="A765" s="87">
        <v>10</v>
      </c>
      <c r="B765" s="23">
        <v>9</v>
      </c>
      <c r="C765" s="81">
        <v>4099</v>
      </c>
      <c r="D765" s="81">
        <v>1</v>
      </c>
      <c r="E765" s="70">
        <v>1</v>
      </c>
      <c r="F765" s="81" t="s">
        <v>474</v>
      </c>
      <c r="G765" s="81" t="s">
        <v>472</v>
      </c>
      <c r="H765" s="81">
        <v>1967</v>
      </c>
      <c r="I765" s="81" t="s">
        <v>473</v>
      </c>
    </row>
    <row r="766" spans="1:9" x14ac:dyDescent="0.3">
      <c r="A766" s="23">
        <v>10</v>
      </c>
      <c r="B766" s="23">
        <v>9</v>
      </c>
      <c r="C766" s="81">
        <v>4099</v>
      </c>
      <c r="D766" s="81">
        <v>1</v>
      </c>
      <c r="E766" s="4">
        <v>1</v>
      </c>
      <c r="F766" s="81" t="s">
        <v>474</v>
      </c>
      <c r="G766" s="81" t="s">
        <v>472</v>
      </c>
      <c r="H766" s="81">
        <v>1967</v>
      </c>
      <c r="I766" s="81" t="s">
        <v>473</v>
      </c>
    </row>
    <row r="767" spans="1:9" x14ac:dyDescent="0.3">
      <c r="A767" s="23">
        <v>10</v>
      </c>
      <c r="B767" s="23">
        <v>9</v>
      </c>
      <c r="C767" s="81">
        <v>4099</v>
      </c>
      <c r="D767" s="81">
        <v>1</v>
      </c>
      <c r="E767" s="70">
        <v>1</v>
      </c>
      <c r="F767" s="81" t="s">
        <v>474</v>
      </c>
      <c r="G767" s="81" t="s">
        <v>472</v>
      </c>
      <c r="H767" s="81">
        <v>1967</v>
      </c>
      <c r="I767" s="81" t="s">
        <v>473</v>
      </c>
    </row>
    <row r="768" spans="1:9" x14ac:dyDescent="0.3">
      <c r="A768" s="23">
        <v>10</v>
      </c>
      <c r="B768" s="23">
        <v>9</v>
      </c>
      <c r="C768" s="81">
        <v>4099</v>
      </c>
      <c r="D768" s="81">
        <v>1</v>
      </c>
      <c r="E768" s="70">
        <v>1</v>
      </c>
      <c r="F768" s="81" t="s">
        <v>474</v>
      </c>
      <c r="G768" s="81" t="s">
        <v>472</v>
      </c>
      <c r="H768" s="81">
        <v>1967</v>
      </c>
      <c r="I768" s="81" t="s">
        <v>473</v>
      </c>
    </row>
    <row r="769" spans="1:9" x14ac:dyDescent="0.3">
      <c r="A769" s="23">
        <v>10</v>
      </c>
      <c r="B769" s="23">
        <v>9</v>
      </c>
      <c r="C769" s="81">
        <v>4099</v>
      </c>
      <c r="D769" s="81">
        <v>1</v>
      </c>
      <c r="E769" s="70">
        <v>1</v>
      </c>
      <c r="F769" s="81" t="s">
        <v>474</v>
      </c>
      <c r="G769" s="81" t="s">
        <v>472</v>
      </c>
      <c r="H769" s="81">
        <v>1967</v>
      </c>
      <c r="I769" s="81" t="s">
        <v>473</v>
      </c>
    </row>
    <row r="770" spans="1:9" x14ac:dyDescent="0.3">
      <c r="A770" s="23">
        <v>10</v>
      </c>
      <c r="B770" s="23">
        <v>9</v>
      </c>
      <c r="C770" s="81">
        <v>4099</v>
      </c>
      <c r="D770" s="81">
        <v>1</v>
      </c>
      <c r="E770" s="70">
        <v>1</v>
      </c>
      <c r="F770" s="81" t="s">
        <v>474</v>
      </c>
      <c r="G770" s="81" t="s">
        <v>472</v>
      </c>
      <c r="H770" s="81">
        <v>1967</v>
      </c>
      <c r="I770" s="81" t="s">
        <v>473</v>
      </c>
    </row>
    <row r="771" spans="1:9" x14ac:dyDescent="0.3">
      <c r="A771" s="23">
        <v>10</v>
      </c>
      <c r="B771" s="23">
        <v>9</v>
      </c>
      <c r="C771" s="81">
        <v>4099</v>
      </c>
      <c r="D771" s="81">
        <v>1</v>
      </c>
      <c r="E771" s="70">
        <v>1</v>
      </c>
      <c r="F771" s="81" t="s">
        <v>474</v>
      </c>
      <c r="G771" s="81" t="s">
        <v>472</v>
      </c>
      <c r="H771" s="81">
        <v>1967</v>
      </c>
      <c r="I771" s="81" t="s">
        <v>473</v>
      </c>
    </row>
    <row r="772" spans="1:9" x14ac:dyDescent="0.3">
      <c r="A772" s="23">
        <v>10</v>
      </c>
      <c r="B772" s="23">
        <v>9</v>
      </c>
      <c r="C772" s="81">
        <v>4099</v>
      </c>
      <c r="D772" s="81">
        <v>1</v>
      </c>
      <c r="E772" s="70">
        <v>1</v>
      </c>
      <c r="F772" s="81" t="s">
        <v>474</v>
      </c>
      <c r="G772" s="81" t="s">
        <v>472</v>
      </c>
      <c r="H772" s="81">
        <v>1967</v>
      </c>
      <c r="I772" s="81" t="s">
        <v>473</v>
      </c>
    </row>
    <row r="773" spans="1:9" x14ac:dyDescent="0.3">
      <c r="A773" s="87">
        <v>10</v>
      </c>
      <c r="B773" s="23">
        <v>10</v>
      </c>
      <c r="C773" s="81">
        <v>4099</v>
      </c>
      <c r="D773" s="81">
        <v>1</v>
      </c>
      <c r="E773" s="70">
        <v>1</v>
      </c>
      <c r="F773" s="81" t="s">
        <v>474</v>
      </c>
      <c r="G773" s="81" t="s">
        <v>472</v>
      </c>
      <c r="H773" s="81">
        <v>1967</v>
      </c>
      <c r="I773" s="81" t="s">
        <v>473</v>
      </c>
    </row>
    <row r="774" spans="1:9" x14ac:dyDescent="0.3">
      <c r="A774" s="87">
        <v>10</v>
      </c>
      <c r="B774" s="23">
        <v>10</v>
      </c>
      <c r="C774" s="81">
        <v>4099</v>
      </c>
      <c r="D774" s="81">
        <v>1</v>
      </c>
      <c r="E774" s="70">
        <v>1</v>
      </c>
      <c r="F774" s="81" t="s">
        <v>474</v>
      </c>
      <c r="G774" s="81" t="s">
        <v>472</v>
      </c>
      <c r="H774" s="81">
        <v>1967</v>
      </c>
      <c r="I774" s="81" t="s">
        <v>473</v>
      </c>
    </row>
    <row r="775" spans="1:9" x14ac:dyDescent="0.3">
      <c r="A775" s="87">
        <v>10</v>
      </c>
      <c r="B775" s="23">
        <v>10</v>
      </c>
      <c r="C775" s="81">
        <v>4099</v>
      </c>
      <c r="D775" s="81">
        <v>1</v>
      </c>
      <c r="E775" s="70">
        <v>1</v>
      </c>
      <c r="F775" s="81" t="s">
        <v>474</v>
      </c>
      <c r="G775" s="81" t="s">
        <v>472</v>
      </c>
      <c r="H775" s="81">
        <v>1967</v>
      </c>
      <c r="I775" s="81" t="s">
        <v>473</v>
      </c>
    </row>
    <row r="776" spans="1:9" x14ac:dyDescent="0.3">
      <c r="A776" s="87">
        <v>10</v>
      </c>
      <c r="B776" s="23">
        <v>11</v>
      </c>
      <c r="C776" s="81">
        <v>4099</v>
      </c>
      <c r="D776" s="81">
        <v>1</v>
      </c>
      <c r="E776" s="70">
        <v>1</v>
      </c>
      <c r="F776" s="81" t="s">
        <v>474</v>
      </c>
      <c r="G776" s="81" t="s">
        <v>472</v>
      </c>
      <c r="H776" s="81">
        <v>1967</v>
      </c>
      <c r="I776" s="81" t="s">
        <v>473</v>
      </c>
    </row>
    <row r="777" spans="1:9" x14ac:dyDescent="0.3">
      <c r="A777" s="87">
        <v>11</v>
      </c>
      <c r="B777" s="23">
        <v>6</v>
      </c>
      <c r="C777" s="81">
        <v>4099</v>
      </c>
      <c r="D777" s="81">
        <v>1</v>
      </c>
      <c r="E777" s="70">
        <v>1</v>
      </c>
      <c r="F777" s="81" t="s">
        <v>474</v>
      </c>
      <c r="G777" s="81" t="s">
        <v>472</v>
      </c>
      <c r="H777" s="81">
        <v>1967</v>
      </c>
      <c r="I777" s="81" t="s">
        <v>473</v>
      </c>
    </row>
    <row r="778" spans="1:9" x14ac:dyDescent="0.3">
      <c r="A778" s="87">
        <v>11</v>
      </c>
      <c r="B778" s="23">
        <v>8</v>
      </c>
      <c r="C778" s="81">
        <v>4099</v>
      </c>
      <c r="D778" s="81">
        <v>1</v>
      </c>
      <c r="E778" s="70">
        <v>1</v>
      </c>
      <c r="F778" s="81" t="s">
        <v>474</v>
      </c>
      <c r="G778" s="81" t="s">
        <v>472</v>
      </c>
      <c r="H778" s="81">
        <v>1967</v>
      </c>
      <c r="I778" s="81" t="s">
        <v>473</v>
      </c>
    </row>
    <row r="779" spans="1:9" x14ac:dyDescent="0.3">
      <c r="A779" s="87">
        <v>11</v>
      </c>
      <c r="B779" s="23">
        <v>8</v>
      </c>
      <c r="C779" s="81">
        <v>4099</v>
      </c>
      <c r="D779" s="81">
        <v>1</v>
      </c>
      <c r="E779" s="70">
        <v>1</v>
      </c>
      <c r="F779" s="81" t="s">
        <v>474</v>
      </c>
      <c r="G779" s="81" t="s">
        <v>472</v>
      </c>
      <c r="H779" s="81">
        <v>1967</v>
      </c>
      <c r="I779" s="81" t="s">
        <v>473</v>
      </c>
    </row>
    <row r="780" spans="1:9" x14ac:dyDescent="0.3">
      <c r="A780" s="87">
        <v>11</v>
      </c>
      <c r="B780" s="23">
        <v>8</v>
      </c>
      <c r="C780" s="81">
        <v>4099</v>
      </c>
      <c r="D780" s="81">
        <v>1</v>
      </c>
      <c r="E780" s="70">
        <v>1</v>
      </c>
      <c r="F780" s="81" t="s">
        <v>474</v>
      </c>
      <c r="G780" s="81" t="s">
        <v>472</v>
      </c>
      <c r="H780" s="81">
        <v>1967</v>
      </c>
      <c r="I780" s="81" t="s">
        <v>473</v>
      </c>
    </row>
    <row r="781" spans="1:9" x14ac:dyDescent="0.3">
      <c r="A781" s="87">
        <v>11</v>
      </c>
      <c r="B781" s="23">
        <v>8</v>
      </c>
      <c r="C781" s="81">
        <v>4099</v>
      </c>
      <c r="D781" s="81">
        <v>1</v>
      </c>
      <c r="E781" s="70">
        <v>1</v>
      </c>
      <c r="F781" s="81" t="s">
        <v>474</v>
      </c>
      <c r="G781" s="81" t="s">
        <v>472</v>
      </c>
      <c r="H781" s="81">
        <v>1967</v>
      </c>
      <c r="I781" s="81" t="s">
        <v>473</v>
      </c>
    </row>
    <row r="782" spans="1:9" x14ac:dyDescent="0.3">
      <c r="A782" s="23">
        <v>11</v>
      </c>
      <c r="B782" s="23">
        <v>9</v>
      </c>
      <c r="C782" s="81">
        <v>4099</v>
      </c>
      <c r="D782" s="81">
        <v>1</v>
      </c>
      <c r="E782" s="70">
        <v>1</v>
      </c>
      <c r="F782" s="81" t="s">
        <v>474</v>
      </c>
      <c r="G782" s="81" t="s">
        <v>472</v>
      </c>
      <c r="H782" s="81">
        <v>1967</v>
      </c>
      <c r="I782" s="81" t="s">
        <v>473</v>
      </c>
    </row>
    <row r="783" spans="1:9" x14ac:dyDescent="0.3">
      <c r="A783" s="87">
        <v>11</v>
      </c>
      <c r="B783" s="23">
        <v>9</v>
      </c>
      <c r="C783" s="81">
        <v>4099</v>
      </c>
      <c r="D783" s="81">
        <v>1</v>
      </c>
      <c r="E783" s="70">
        <v>1</v>
      </c>
      <c r="F783" s="81" t="s">
        <v>474</v>
      </c>
      <c r="G783" s="81" t="s">
        <v>472</v>
      </c>
      <c r="H783" s="81">
        <v>1967</v>
      </c>
      <c r="I783" s="81" t="s">
        <v>473</v>
      </c>
    </row>
    <row r="784" spans="1:9" x14ac:dyDescent="0.3">
      <c r="A784" s="87">
        <v>11</v>
      </c>
      <c r="B784" s="23">
        <v>9</v>
      </c>
      <c r="C784" s="81">
        <v>4099</v>
      </c>
      <c r="D784" s="81">
        <v>1</v>
      </c>
      <c r="E784" s="70">
        <v>1</v>
      </c>
      <c r="F784" s="81" t="s">
        <v>474</v>
      </c>
      <c r="G784" s="81" t="s">
        <v>472</v>
      </c>
      <c r="H784" s="81">
        <v>1967</v>
      </c>
      <c r="I784" s="81" t="s">
        <v>473</v>
      </c>
    </row>
    <row r="785" spans="1:9" x14ac:dyDescent="0.3">
      <c r="A785" s="87">
        <v>11</v>
      </c>
      <c r="B785" s="23">
        <v>9</v>
      </c>
      <c r="C785" s="81">
        <v>4099</v>
      </c>
      <c r="D785" s="81">
        <v>1</v>
      </c>
      <c r="E785" s="70">
        <v>1</v>
      </c>
      <c r="F785" s="81" t="s">
        <v>474</v>
      </c>
      <c r="G785" s="81" t="s">
        <v>472</v>
      </c>
      <c r="H785" s="81">
        <v>1967</v>
      </c>
      <c r="I785" s="81" t="s">
        <v>473</v>
      </c>
    </row>
    <row r="786" spans="1:9" x14ac:dyDescent="0.3">
      <c r="A786" s="87">
        <v>11</v>
      </c>
      <c r="B786" s="23">
        <v>9</v>
      </c>
      <c r="C786" s="81">
        <v>4099</v>
      </c>
      <c r="D786" s="81">
        <v>1</v>
      </c>
      <c r="E786" s="70">
        <v>1</v>
      </c>
      <c r="F786" s="81" t="s">
        <v>474</v>
      </c>
      <c r="G786" s="81" t="s">
        <v>472</v>
      </c>
      <c r="H786" s="81">
        <v>1967</v>
      </c>
      <c r="I786" s="81" t="s">
        <v>473</v>
      </c>
    </row>
    <row r="787" spans="1:9" x14ac:dyDescent="0.3">
      <c r="A787" s="87">
        <v>11</v>
      </c>
      <c r="B787" s="23">
        <v>9</v>
      </c>
      <c r="C787" s="81">
        <v>4099</v>
      </c>
      <c r="D787" s="81">
        <v>1</v>
      </c>
      <c r="E787" s="70">
        <v>1</v>
      </c>
      <c r="F787" s="81" t="s">
        <v>474</v>
      </c>
      <c r="G787" s="81" t="s">
        <v>472</v>
      </c>
      <c r="H787" s="81">
        <v>1967</v>
      </c>
      <c r="I787" s="81" t="s">
        <v>473</v>
      </c>
    </row>
    <row r="788" spans="1:9" x14ac:dyDescent="0.3">
      <c r="A788" s="87">
        <v>11</v>
      </c>
      <c r="B788" s="23">
        <v>9</v>
      </c>
      <c r="C788" s="81">
        <v>4099</v>
      </c>
      <c r="D788" s="81">
        <v>1</v>
      </c>
      <c r="E788" s="70">
        <v>1</v>
      </c>
      <c r="F788" s="81" t="s">
        <v>474</v>
      </c>
      <c r="G788" s="81" t="s">
        <v>472</v>
      </c>
      <c r="H788" s="81">
        <v>1967</v>
      </c>
      <c r="I788" s="81" t="s">
        <v>473</v>
      </c>
    </row>
    <row r="789" spans="1:9" x14ac:dyDescent="0.3">
      <c r="A789" s="87">
        <v>11</v>
      </c>
      <c r="B789" s="23">
        <v>10</v>
      </c>
      <c r="C789" s="81">
        <v>4099</v>
      </c>
      <c r="D789" s="81">
        <v>1</v>
      </c>
      <c r="E789" s="70">
        <v>1</v>
      </c>
      <c r="F789" s="81" t="s">
        <v>474</v>
      </c>
      <c r="G789" s="81" t="s">
        <v>472</v>
      </c>
      <c r="H789" s="81">
        <v>1967</v>
      </c>
      <c r="I789" s="81" t="s">
        <v>473</v>
      </c>
    </row>
    <row r="790" spans="1:9" x14ac:dyDescent="0.3">
      <c r="A790" s="87">
        <v>11</v>
      </c>
      <c r="B790" s="23">
        <v>11</v>
      </c>
      <c r="C790" s="81">
        <v>4099</v>
      </c>
      <c r="D790" s="81">
        <v>1</v>
      </c>
      <c r="E790" s="70">
        <v>1</v>
      </c>
      <c r="F790" s="81" t="s">
        <v>474</v>
      </c>
      <c r="G790" s="81" t="s">
        <v>472</v>
      </c>
      <c r="H790" s="81">
        <v>1967</v>
      </c>
      <c r="I790" s="81" t="s">
        <v>473</v>
      </c>
    </row>
    <row r="791" spans="1:9" x14ac:dyDescent="0.3">
      <c r="A791" s="87">
        <v>11</v>
      </c>
      <c r="B791" s="23">
        <v>12</v>
      </c>
      <c r="C791" s="81">
        <v>4099</v>
      </c>
      <c r="D791" s="81">
        <v>1</v>
      </c>
      <c r="E791" s="70">
        <v>1</v>
      </c>
      <c r="F791" s="81" t="s">
        <v>474</v>
      </c>
      <c r="G791" s="81" t="s">
        <v>472</v>
      </c>
      <c r="H791" s="81">
        <v>1967</v>
      </c>
      <c r="I791" s="81" t="s">
        <v>473</v>
      </c>
    </row>
    <row r="792" spans="1:9" x14ac:dyDescent="0.3">
      <c r="A792" s="87">
        <v>12</v>
      </c>
      <c r="B792" s="23">
        <v>1</v>
      </c>
      <c r="C792" s="81">
        <v>4099</v>
      </c>
      <c r="D792" s="81">
        <v>1</v>
      </c>
      <c r="E792" s="70">
        <v>1</v>
      </c>
      <c r="F792" s="81" t="s">
        <v>474</v>
      </c>
      <c r="G792" s="81" t="s">
        <v>472</v>
      </c>
      <c r="H792" s="81">
        <v>1967</v>
      </c>
      <c r="I792" s="81" t="s">
        <v>473</v>
      </c>
    </row>
    <row r="793" spans="1:9" x14ac:dyDescent="0.3">
      <c r="A793" s="87">
        <v>12</v>
      </c>
      <c r="B793" s="23">
        <v>8</v>
      </c>
      <c r="C793" s="81">
        <v>4099</v>
      </c>
      <c r="D793" s="81">
        <v>1</v>
      </c>
      <c r="E793" s="70">
        <v>1</v>
      </c>
      <c r="F793" s="81" t="s">
        <v>474</v>
      </c>
      <c r="G793" s="81" t="s">
        <v>472</v>
      </c>
      <c r="H793" s="81">
        <v>1967</v>
      </c>
      <c r="I793" s="81" t="s">
        <v>473</v>
      </c>
    </row>
    <row r="794" spans="1:9" x14ac:dyDescent="0.3">
      <c r="A794" s="87">
        <v>12</v>
      </c>
      <c r="B794" s="23">
        <v>10</v>
      </c>
      <c r="C794" s="81">
        <v>4099</v>
      </c>
      <c r="D794" s="81">
        <v>1</v>
      </c>
      <c r="E794" s="70">
        <v>1</v>
      </c>
      <c r="F794" s="81" t="s">
        <v>474</v>
      </c>
      <c r="G794" s="81" t="s">
        <v>472</v>
      </c>
      <c r="H794" s="81">
        <v>1967</v>
      </c>
      <c r="I794" s="81" t="s">
        <v>473</v>
      </c>
    </row>
    <row r="795" spans="1:9" x14ac:dyDescent="0.3">
      <c r="A795" s="87">
        <v>12</v>
      </c>
      <c r="B795" s="23">
        <v>10</v>
      </c>
      <c r="C795" s="81">
        <v>4099</v>
      </c>
      <c r="D795" s="81">
        <v>1</v>
      </c>
      <c r="E795" s="70">
        <v>1</v>
      </c>
      <c r="F795" s="81" t="s">
        <v>474</v>
      </c>
      <c r="G795" s="81" t="s">
        <v>472</v>
      </c>
      <c r="H795" s="81">
        <v>1967</v>
      </c>
      <c r="I795" s="81" t="s">
        <v>473</v>
      </c>
    </row>
    <row r="796" spans="1:9" x14ac:dyDescent="0.3">
      <c r="A796" s="87">
        <v>5</v>
      </c>
      <c r="B796" s="23">
        <v>4</v>
      </c>
      <c r="C796" s="81">
        <v>4099</v>
      </c>
      <c r="D796" s="81">
        <v>1</v>
      </c>
      <c r="E796" s="70">
        <v>2</v>
      </c>
      <c r="F796" s="81" t="s">
        <v>474</v>
      </c>
      <c r="G796" s="81" t="s">
        <v>472</v>
      </c>
      <c r="H796" s="81">
        <v>1967</v>
      </c>
      <c r="I796" s="81" t="s">
        <v>473</v>
      </c>
    </row>
    <row r="797" spans="1:9" x14ac:dyDescent="0.3">
      <c r="A797" s="87">
        <v>5</v>
      </c>
      <c r="B797" s="23">
        <v>9</v>
      </c>
      <c r="C797" s="81">
        <v>4099</v>
      </c>
      <c r="D797" s="81">
        <v>1</v>
      </c>
      <c r="E797" s="70">
        <v>2</v>
      </c>
      <c r="F797" s="81" t="s">
        <v>474</v>
      </c>
      <c r="G797" s="81" t="s">
        <v>472</v>
      </c>
      <c r="H797" s="81">
        <v>1967</v>
      </c>
      <c r="I797" s="81" t="s">
        <v>473</v>
      </c>
    </row>
    <row r="798" spans="1:9" x14ac:dyDescent="0.3">
      <c r="A798" s="87">
        <v>6</v>
      </c>
      <c r="B798" s="23">
        <v>4</v>
      </c>
      <c r="C798" s="81">
        <v>4099</v>
      </c>
      <c r="D798" s="81">
        <v>1</v>
      </c>
      <c r="E798" s="70">
        <v>2</v>
      </c>
      <c r="F798" s="81" t="s">
        <v>474</v>
      </c>
      <c r="G798" s="81" t="s">
        <v>472</v>
      </c>
      <c r="H798" s="81">
        <v>1967</v>
      </c>
      <c r="I798" s="81" t="s">
        <v>473</v>
      </c>
    </row>
    <row r="799" spans="1:9" x14ac:dyDescent="0.3">
      <c r="A799" s="87">
        <v>6</v>
      </c>
      <c r="B799" s="23">
        <v>4</v>
      </c>
      <c r="C799" s="81">
        <v>4099</v>
      </c>
      <c r="D799" s="81">
        <v>1</v>
      </c>
      <c r="E799" s="70">
        <v>2</v>
      </c>
      <c r="F799" s="81" t="s">
        <v>474</v>
      </c>
      <c r="G799" s="81" t="s">
        <v>472</v>
      </c>
      <c r="H799" s="81">
        <v>1967</v>
      </c>
      <c r="I799" s="81" t="s">
        <v>473</v>
      </c>
    </row>
    <row r="800" spans="1:9" x14ac:dyDescent="0.3">
      <c r="A800" s="87">
        <v>6</v>
      </c>
      <c r="B800" s="23">
        <v>5</v>
      </c>
      <c r="C800" s="81">
        <v>4099</v>
      </c>
      <c r="D800" s="81">
        <v>1</v>
      </c>
      <c r="E800" s="70">
        <v>2</v>
      </c>
      <c r="F800" s="81" t="s">
        <v>474</v>
      </c>
      <c r="G800" s="81" t="s">
        <v>472</v>
      </c>
      <c r="H800" s="81">
        <v>1967</v>
      </c>
      <c r="I800" s="81" t="s">
        <v>473</v>
      </c>
    </row>
    <row r="801" spans="1:9" x14ac:dyDescent="0.3">
      <c r="A801" s="87">
        <v>6</v>
      </c>
      <c r="B801" s="23">
        <v>6</v>
      </c>
      <c r="C801" s="81">
        <v>4099</v>
      </c>
      <c r="D801" s="81">
        <v>1</v>
      </c>
      <c r="E801" s="70">
        <v>2</v>
      </c>
      <c r="F801" s="81" t="s">
        <v>474</v>
      </c>
      <c r="G801" s="81" t="s">
        <v>472</v>
      </c>
      <c r="H801" s="81">
        <v>1967</v>
      </c>
      <c r="I801" s="81" t="s">
        <v>473</v>
      </c>
    </row>
    <row r="802" spans="1:9" x14ac:dyDescent="0.3">
      <c r="A802" s="87">
        <v>7</v>
      </c>
      <c r="B802" s="23">
        <v>4</v>
      </c>
      <c r="C802" s="81">
        <v>4099</v>
      </c>
      <c r="D802" s="81">
        <v>1</v>
      </c>
      <c r="E802" s="70">
        <v>2</v>
      </c>
      <c r="F802" s="81" t="s">
        <v>474</v>
      </c>
      <c r="G802" s="81" t="s">
        <v>472</v>
      </c>
      <c r="H802" s="81">
        <v>1967</v>
      </c>
      <c r="I802" s="81" t="s">
        <v>473</v>
      </c>
    </row>
    <row r="803" spans="1:9" x14ac:dyDescent="0.3">
      <c r="A803" s="87">
        <v>7</v>
      </c>
      <c r="B803" s="23">
        <v>5</v>
      </c>
      <c r="C803" s="81">
        <v>4099</v>
      </c>
      <c r="D803" s="81">
        <v>1</v>
      </c>
      <c r="E803" s="70">
        <v>2</v>
      </c>
      <c r="F803" s="81" t="s">
        <v>474</v>
      </c>
      <c r="G803" s="81" t="s">
        <v>472</v>
      </c>
      <c r="H803" s="81">
        <v>1967</v>
      </c>
      <c r="I803" s="81" t="s">
        <v>473</v>
      </c>
    </row>
    <row r="804" spans="1:9" x14ac:dyDescent="0.3">
      <c r="A804" s="87">
        <v>7</v>
      </c>
      <c r="B804" s="23">
        <v>5</v>
      </c>
      <c r="C804" s="81">
        <v>4099</v>
      </c>
      <c r="D804" s="81">
        <v>1</v>
      </c>
      <c r="E804" s="70">
        <v>2</v>
      </c>
      <c r="F804" s="81" t="s">
        <v>474</v>
      </c>
      <c r="G804" s="81" t="s">
        <v>472</v>
      </c>
      <c r="H804" s="81">
        <v>1967</v>
      </c>
      <c r="I804" s="81" t="s">
        <v>473</v>
      </c>
    </row>
    <row r="805" spans="1:9" x14ac:dyDescent="0.3">
      <c r="A805" s="87">
        <v>7</v>
      </c>
      <c r="B805" s="23">
        <v>5</v>
      </c>
      <c r="C805" s="81">
        <v>4099</v>
      </c>
      <c r="D805" s="81">
        <v>1</v>
      </c>
      <c r="E805" s="70">
        <v>2</v>
      </c>
      <c r="F805" s="81" t="s">
        <v>474</v>
      </c>
      <c r="G805" s="81" t="s">
        <v>472</v>
      </c>
      <c r="H805" s="81">
        <v>1967</v>
      </c>
      <c r="I805" s="81" t="s">
        <v>473</v>
      </c>
    </row>
    <row r="806" spans="1:9" x14ac:dyDescent="0.3">
      <c r="A806" s="87">
        <v>7</v>
      </c>
      <c r="B806" s="23">
        <v>5</v>
      </c>
      <c r="C806" s="81">
        <v>4099</v>
      </c>
      <c r="D806" s="81">
        <v>1</v>
      </c>
      <c r="E806" s="70">
        <v>2</v>
      </c>
      <c r="F806" s="81" t="s">
        <v>474</v>
      </c>
      <c r="G806" s="81" t="s">
        <v>472</v>
      </c>
      <c r="H806" s="81">
        <v>1967</v>
      </c>
      <c r="I806" s="81" t="s">
        <v>473</v>
      </c>
    </row>
    <row r="807" spans="1:9" x14ac:dyDescent="0.3">
      <c r="A807" s="23">
        <v>7</v>
      </c>
      <c r="B807" s="23">
        <v>5</v>
      </c>
      <c r="C807" s="81">
        <v>4099</v>
      </c>
      <c r="D807" s="81">
        <v>1</v>
      </c>
      <c r="E807" s="70">
        <v>2</v>
      </c>
      <c r="F807" s="81" t="s">
        <v>474</v>
      </c>
      <c r="G807" s="81" t="s">
        <v>472</v>
      </c>
      <c r="H807" s="81">
        <v>1967</v>
      </c>
      <c r="I807" s="81" t="s">
        <v>473</v>
      </c>
    </row>
    <row r="808" spans="1:9" x14ac:dyDescent="0.3">
      <c r="A808" s="87">
        <v>7</v>
      </c>
      <c r="B808" s="23">
        <v>7</v>
      </c>
      <c r="C808" s="81">
        <v>4099</v>
      </c>
      <c r="D808" s="81">
        <v>1</v>
      </c>
      <c r="E808" s="70">
        <v>2</v>
      </c>
      <c r="F808" s="81" t="s">
        <v>474</v>
      </c>
      <c r="G808" s="81" t="s">
        <v>472</v>
      </c>
      <c r="H808" s="81">
        <v>1967</v>
      </c>
      <c r="I808" s="81" t="s">
        <v>473</v>
      </c>
    </row>
    <row r="809" spans="1:9" x14ac:dyDescent="0.3">
      <c r="A809" s="87">
        <v>7</v>
      </c>
      <c r="B809" s="23">
        <v>7</v>
      </c>
      <c r="C809" s="81">
        <v>4099</v>
      </c>
      <c r="D809" s="81">
        <v>1</v>
      </c>
      <c r="E809" s="70">
        <v>2</v>
      </c>
      <c r="F809" s="81" t="s">
        <v>474</v>
      </c>
      <c r="G809" s="81" t="s">
        <v>472</v>
      </c>
      <c r="H809" s="81">
        <v>1967</v>
      </c>
      <c r="I809" s="81" t="s">
        <v>473</v>
      </c>
    </row>
    <row r="810" spans="1:9" x14ac:dyDescent="0.3">
      <c r="A810" s="87">
        <v>7</v>
      </c>
      <c r="B810" s="23">
        <v>8</v>
      </c>
      <c r="C810" s="81">
        <v>4099</v>
      </c>
      <c r="D810" s="81">
        <v>1</v>
      </c>
      <c r="E810" s="70">
        <v>2</v>
      </c>
      <c r="F810" s="81" t="s">
        <v>474</v>
      </c>
      <c r="G810" s="81" t="s">
        <v>472</v>
      </c>
      <c r="H810" s="81">
        <v>1967</v>
      </c>
      <c r="I810" s="81" t="s">
        <v>473</v>
      </c>
    </row>
    <row r="811" spans="1:9" x14ac:dyDescent="0.3">
      <c r="A811" s="87">
        <v>8</v>
      </c>
      <c r="B811" s="23">
        <v>4</v>
      </c>
      <c r="C811" s="81">
        <v>4099</v>
      </c>
      <c r="D811" s="81">
        <v>1</v>
      </c>
      <c r="E811" s="70">
        <v>2</v>
      </c>
      <c r="F811" s="81" t="s">
        <v>474</v>
      </c>
      <c r="G811" s="81" t="s">
        <v>472</v>
      </c>
      <c r="H811" s="81">
        <v>1967</v>
      </c>
      <c r="I811" s="81" t="s">
        <v>473</v>
      </c>
    </row>
    <row r="812" spans="1:9" x14ac:dyDescent="0.3">
      <c r="A812" s="87">
        <v>8</v>
      </c>
      <c r="B812" s="23">
        <v>4</v>
      </c>
      <c r="C812" s="81">
        <v>4099</v>
      </c>
      <c r="D812" s="81">
        <v>1</v>
      </c>
      <c r="E812" s="70">
        <v>2</v>
      </c>
      <c r="F812" s="81" t="s">
        <v>474</v>
      </c>
      <c r="G812" s="81" t="s">
        <v>472</v>
      </c>
      <c r="H812" s="81">
        <v>1967</v>
      </c>
      <c r="I812" s="81" t="s">
        <v>473</v>
      </c>
    </row>
    <row r="813" spans="1:9" x14ac:dyDescent="0.3">
      <c r="A813" s="87">
        <v>8</v>
      </c>
      <c r="B813" s="23">
        <v>4</v>
      </c>
      <c r="C813" s="81">
        <v>4099</v>
      </c>
      <c r="D813" s="81">
        <v>1</v>
      </c>
      <c r="E813" s="70">
        <v>2</v>
      </c>
      <c r="F813" s="81" t="s">
        <v>474</v>
      </c>
      <c r="G813" s="81" t="s">
        <v>472</v>
      </c>
      <c r="H813" s="81">
        <v>1967</v>
      </c>
      <c r="I813" s="81" t="s">
        <v>473</v>
      </c>
    </row>
    <row r="814" spans="1:9" x14ac:dyDescent="0.3">
      <c r="A814" s="87">
        <v>8</v>
      </c>
      <c r="B814" s="23">
        <v>5</v>
      </c>
      <c r="C814" s="81">
        <v>4099</v>
      </c>
      <c r="D814" s="81">
        <v>1</v>
      </c>
      <c r="E814" s="70">
        <v>2</v>
      </c>
      <c r="F814" s="81" t="s">
        <v>474</v>
      </c>
      <c r="G814" s="81" t="s">
        <v>472</v>
      </c>
      <c r="H814" s="81">
        <v>1967</v>
      </c>
      <c r="I814" s="81" t="s">
        <v>473</v>
      </c>
    </row>
    <row r="815" spans="1:9" x14ac:dyDescent="0.3">
      <c r="A815" s="87">
        <v>8</v>
      </c>
      <c r="B815" s="23">
        <v>5</v>
      </c>
      <c r="C815" s="81">
        <v>4099</v>
      </c>
      <c r="D815" s="81">
        <v>1</v>
      </c>
      <c r="E815" s="70">
        <v>2</v>
      </c>
      <c r="F815" s="81" t="s">
        <v>474</v>
      </c>
      <c r="G815" s="81" t="s">
        <v>472</v>
      </c>
      <c r="H815" s="81">
        <v>1967</v>
      </c>
      <c r="I815" s="81" t="s">
        <v>473</v>
      </c>
    </row>
    <row r="816" spans="1:9" x14ac:dyDescent="0.3">
      <c r="A816" s="87">
        <v>8</v>
      </c>
      <c r="B816" s="23">
        <v>5</v>
      </c>
      <c r="C816" s="81">
        <v>4099</v>
      </c>
      <c r="D816" s="81">
        <v>1</v>
      </c>
      <c r="E816" s="70">
        <v>2</v>
      </c>
      <c r="F816" s="81" t="s">
        <v>474</v>
      </c>
      <c r="G816" s="81" t="s">
        <v>472</v>
      </c>
      <c r="H816" s="81">
        <v>1967</v>
      </c>
      <c r="I816" s="81" t="s">
        <v>473</v>
      </c>
    </row>
    <row r="817" spans="1:9" x14ac:dyDescent="0.3">
      <c r="A817" s="87">
        <v>8</v>
      </c>
      <c r="B817" s="23">
        <v>5</v>
      </c>
      <c r="C817" s="81">
        <v>4099</v>
      </c>
      <c r="D817" s="81">
        <v>1</v>
      </c>
      <c r="E817" s="70">
        <v>2</v>
      </c>
      <c r="F817" s="81" t="s">
        <v>474</v>
      </c>
      <c r="G817" s="81" t="s">
        <v>472</v>
      </c>
      <c r="H817" s="81">
        <v>1967</v>
      </c>
      <c r="I817" s="81" t="s">
        <v>473</v>
      </c>
    </row>
    <row r="818" spans="1:9" x14ac:dyDescent="0.3">
      <c r="A818" s="87">
        <v>8</v>
      </c>
      <c r="B818" s="23">
        <v>7</v>
      </c>
      <c r="C818" s="81">
        <v>4099</v>
      </c>
      <c r="D818" s="81">
        <v>1</v>
      </c>
      <c r="E818" s="70">
        <v>2</v>
      </c>
      <c r="F818" s="81" t="s">
        <v>474</v>
      </c>
      <c r="G818" s="81" t="s">
        <v>472</v>
      </c>
      <c r="H818" s="81">
        <v>1967</v>
      </c>
      <c r="I818" s="81" t="s">
        <v>473</v>
      </c>
    </row>
    <row r="819" spans="1:9" x14ac:dyDescent="0.3">
      <c r="A819" s="87">
        <v>8</v>
      </c>
      <c r="B819" s="23">
        <v>7</v>
      </c>
      <c r="C819" s="81">
        <v>4099</v>
      </c>
      <c r="D819" s="81">
        <v>1</v>
      </c>
      <c r="E819" s="70">
        <v>2</v>
      </c>
      <c r="F819" s="81" t="s">
        <v>474</v>
      </c>
      <c r="G819" s="81" t="s">
        <v>472</v>
      </c>
      <c r="H819" s="81">
        <v>1967</v>
      </c>
      <c r="I819" s="81" t="s">
        <v>473</v>
      </c>
    </row>
    <row r="820" spans="1:9" x14ac:dyDescent="0.3">
      <c r="A820" s="87">
        <v>8</v>
      </c>
      <c r="B820" s="23">
        <v>7</v>
      </c>
      <c r="C820" s="81">
        <v>4099</v>
      </c>
      <c r="D820" s="81">
        <v>1</v>
      </c>
      <c r="E820" s="70">
        <v>2</v>
      </c>
      <c r="F820" s="81" t="s">
        <v>474</v>
      </c>
      <c r="G820" s="81" t="s">
        <v>472</v>
      </c>
      <c r="H820" s="81">
        <v>1967</v>
      </c>
      <c r="I820" s="81" t="s">
        <v>473</v>
      </c>
    </row>
    <row r="821" spans="1:9" x14ac:dyDescent="0.3">
      <c r="A821" s="87">
        <v>8</v>
      </c>
      <c r="B821" s="23">
        <v>7</v>
      </c>
      <c r="C821" s="81">
        <v>4099</v>
      </c>
      <c r="D821" s="81">
        <v>1</v>
      </c>
      <c r="E821" s="70">
        <v>2</v>
      </c>
      <c r="F821" s="81" t="s">
        <v>474</v>
      </c>
      <c r="G821" s="81" t="s">
        <v>472</v>
      </c>
      <c r="H821" s="81">
        <v>1967</v>
      </c>
      <c r="I821" s="81" t="s">
        <v>473</v>
      </c>
    </row>
    <row r="822" spans="1:9" x14ac:dyDescent="0.3">
      <c r="A822" s="87">
        <v>8</v>
      </c>
      <c r="B822" s="23">
        <v>7</v>
      </c>
      <c r="C822" s="81">
        <v>4099</v>
      </c>
      <c r="D822" s="81">
        <v>1</v>
      </c>
      <c r="E822" s="70">
        <v>2</v>
      </c>
      <c r="F822" s="81" t="s">
        <v>474</v>
      </c>
      <c r="G822" s="81" t="s">
        <v>472</v>
      </c>
      <c r="H822" s="81">
        <v>1967</v>
      </c>
      <c r="I822" s="81" t="s">
        <v>473</v>
      </c>
    </row>
    <row r="823" spans="1:9" x14ac:dyDescent="0.3">
      <c r="A823" s="87">
        <v>8</v>
      </c>
      <c r="B823" s="23">
        <v>7</v>
      </c>
      <c r="C823" s="81">
        <v>4099</v>
      </c>
      <c r="D823" s="81">
        <v>1</v>
      </c>
      <c r="E823" s="70">
        <v>2</v>
      </c>
      <c r="F823" s="81" t="s">
        <v>474</v>
      </c>
      <c r="G823" s="81" t="s">
        <v>472</v>
      </c>
      <c r="H823" s="81">
        <v>1967</v>
      </c>
      <c r="I823" s="81" t="s">
        <v>473</v>
      </c>
    </row>
    <row r="824" spans="1:9" x14ac:dyDescent="0.3">
      <c r="A824" s="87">
        <v>8</v>
      </c>
      <c r="B824" s="23">
        <v>8</v>
      </c>
      <c r="C824" s="81">
        <v>4099</v>
      </c>
      <c r="D824" s="81">
        <v>1</v>
      </c>
      <c r="E824" s="70">
        <v>2</v>
      </c>
      <c r="F824" s="81" t="s">
        <v>474</v>
      </c>
      <c r="G824" s="81" t="s">
        <v>472</v>
      </c>
      <c r="H824" s="81">
        <v>1967</v>
      </c>
      <c r="I824" s="81" t="s">
        <v>473</v>
      </c>
    </row>
    <row r="825" spans="1:9" x14ac:dyDescent="0.3">
      <c r="A825" s="87">
        <v>8</v>
      </c>
      <c r="B825" s="23">
        <v>8</v>
      </c>
      <c r="C825" s="81">
        <v>4099</v>
      </c>
      <c r="D825" s="81">
        <v>1</v>
      </c>
      <c r="E825" s="70">
        <v>2</v>
      </c>
      <c r="F825" s="81" t="s">
        <v>474</v>
      </c>
      <c r="G825" s="81" t="s">
        <v>472</v>
      </c>
      <c r="H825" s="81">
        <v>1967</v>
      </c>
      <c r="I825" s="81" t="s">
        <v>473</v>
      </c>
    </row>
    <row r="826" spans="1:9" x14ac:dyDescent="0.3">
      <c r="A826" s="87">
        <v>8</v>
      </c>
      <c r="B826" s="23">
        <v>8</v>
      </c>
      <c r="C826" s="81">
        <v>4099</v>
      </c>
      <c r="D826" s="81">
        <v>1</v>
      </c>
      <c r="E826" s="70">
        <v>2</v>
      </c>
      <c r="F826" s="81" t="s">
        <v>474</v>
      </c>
      <c r="G826" s="81" t="s">
        <v>472</v>
      </c>
      <c r="H826" s="81">
        <v>1967</v>
      </c>
      <c r="I826" s="81" t="s">
        <v>473</v>
      </c>
    </row>
    <row r="827" spans="1:9" x14ac:dyDescent="0.3">
      <c r="A827" s="87">
        <v>9</v>
      </c>
      <c r="B827" s="23">
        <v>5</v>
      </c>
      <c r="C827" s="81">
        <v>4099</v>
      </c>
      <c r="D827" s="81">
        <v>1</v>
      </c>
      <c r="E827" s="70">
        <v>2</v>
      </c>
      <c r="F827" s="81" t="s">
        <v>474</v>
      </c>
      <c r="G827" s="81" t="s">
        <v>472</v>
      </c>
      <c r="H827" s="81">
        <v>1967</v>
      </c>
      <c r="I827" s="81" t="s">
        <v>473</v>
      </c>
    </row>
    <row r="828" spans="1:9" x14ac:dyDescent="0.3">
      <c r="A828" s="87">
        <v>9</v>
      </c>
      <c r="B828" s="23">
        <v>5</v>
      </c>
      <c r="C828" s="81">
        <v>4099</v>
      </c>
      <c r="D828" s="81">
        <v>1</v>
      </c>
      <c r="E828" s="70">
        <v>2</v>
      </c>
      <c r="F828" s="81" t="s">
        <v>474</v>
      </c>
      <c r="G828" s="81" t="s">
        <v>472</v>
      </c>
      <c r="H828" s="81">
        <v>1967</v>
      </c>
      <c r="I828" s="81" t="s">
        <v>473</v>
      </c>
    </row>
    <row r="829" spans="1:9" x14ac:dyDescent="0.3">
      <c r="A829" s="87">
        <v>9</v>
      </c>
      <c r="B829" s="23">
        <v>6</v>
      </c>
      <c r="C829" s="81">
        <v>4099</v>
      </c>
      <c r="D829" s="81">
        <v>1</v>
      </c>
      <c r="E829" s="70">
        <v>2</v>
      </c>
      <c r="F829" s="81" t="s">
        <v>474</v>
      </c>
      <c r="G829" s="81" t="s">
        <v>472</v>
      </c>
      <c r="H829" s="81">
        <v>1967</v>
      </c>
      <c r="I829" s="81" t="s">
        <v>473</v>
      </c>
    </row>
    <row r="830" spans="1:9" x14ac:dyDescent="0.3">
      <c r="A830" s="87">
        <v>9</v>
      </c>
      <c r="B830" s="23">
        <v>6</v>
      </c>
      <c r="C830" s="81">
        <v>4099</v>
      </c>
      <c r="D830" s="81">
        <v>1</v>
      </c>
      <c r="E830" s="70">
        <v>2</v>
      </c>
      <c r="F830" s="81" t="s">
        <v>474</v>
      </c>
      <c r="G830" s="81" t="s">
        <v>472</v>
      </c>
      <c r="H830" s="81">
        <v>1967</v>
      </c>
      <c r="I830" s="81" t="s">
        <v>473</v>
      </c>
    </row>
    <row r="831" spans="1:9" x14ac:dyDescent="0.3">
      <c r="A831" s="23">
        <v>9</v>
      </c>
      <c r="B831" s="23">
        <v>6</v>
      </c>
      <c r="C831" s="81">
        <v>4099</v>
      </c>
      <c r="D831" s="81">
        <v>1</v>
      </c>
      <c r="E831" s="70">
        <v>2</v>
      </c>
      <c r="F831" s="81" t="s">
        <v>474</v>
      </c>
      <c r="G831" s="81" t="s">
        <v>472</v>
      </c>
      <c r="H831" s="81">
        <v>1967</v>
      </c>
      <c r="I831" s="81" t="s">
        <v>473</v>
      </c>
    </row>
    <row r="832" spans="1:9" x14ac:dyDescent="0.3">
      <c r="A832" s="87">
        <v>9</v>
      </c>
      <c r="B832" s="23">
        <v>6</v>
      </c>
      <c r="C832" s="81">
        <v>4099</v>
      </c>
      <c r="D832" s="81">
        <v>1</v>
      </c>
      <c r="E832" s="70">
        <v>2</v>
      </c>
      <c r="F832" s="81" t="s">
        <v>474</v>
      </c>
      <c r="G832" s="81" t="s">
        <v>472</v>
      </c>
      <c r="H832" s="81">
        <v>1967</v>
      </c>
      <c r="I832" s="81" t="s">
        <v>473</v>
      </c>
    </row>
    <row r="833" spans="1:9" x14ac:dyDescent="0.3">
      <c r="A833" s="87">
        <v>9</v>
      </c>
      <c r="B833" s="23">
        <v>6</v>
      </c>
      <c r="C833" s="81">
        <v>4099</v>
      </c>
      <c r="D833" s="81">
        <v>1</v>
      </c>
      <c r="E833" s="70">
        <v>2</v>
      </c>
      <c r="F833" s="81" t="s">
        <v>474</v>
      </c>
      <c r="G833" s="81" t="s">
        <v>472</v>
      </c>
      <c r="H833" s="81">
        <v>1967</v>
      </c>
      <c r="I833" s="81" t="s">
        <v>473</v>
      </c>
    </row>
    <row r="834" spans="1:9" x14ac:dyDescent="0.3">
      <c r="A834" s="87">
        <v>9</v>
      </c>
      <c r="B834" s="23">
        <v>6</v>
      </c>
      <c r="C834" s="81">
        <v>4099</v>
      </c>
      <c r="D834" s="81">
        <v>1</v>
      </c>
      <c r="E834" s="70">
        <v>2</v>
      </c>
      <c r="F834" s="81" t="s">
        <v>474</v>
      </c>
      <c r="G834" s="81" t="s">
        <v>472</v>
      </c>
      <c r="H834" s="81">
        <v>1967</v>
      </c>
      <c r="I834" s="81" t="s">
        <v>473</v>
      </c>
    </row>
    <row r="835" spans="1:9" x14ac:dyDescent="0.3">
      <c r="A835" s="87">
        <v>9</v>
      </c>
      <c r="B835" s="23">
        <v>6</v>
      </c>
      <c r="C835" s="81">
        <v>4099</v>
      </c>
      <c r="D835" s="81">
        <v>1</v>
      </c>
      <c r="E835" s="70">
        <v>2</v>
      </c>
      <c r="F835" s="81" t="s">
        <v>474</v>
      </c>
      <c r="G835" s="81" t="s">
        <v>472</v>
      </c>
      <c r="H835" s="81">
        <v>1967</v>
      </c>
      <c r="I835" s="81" t="s">
        <v>473</v>
      </c>
    </row>
    <row r="836" spans="1:9" x14ac:dyDescent="0.3">
      <c r="A836" s="87">
        <v>9</v>
      </c>
      <c r="B836" s="23">
        <v>6</v>
      </c>
      <c r="C836" s="81">
        <v>4099</v>
      </c>
      <c r="D836" s="81">
        <v>1</v>
      </c>
      <c r="E836" s="70">
        <v>2</v>
      </c>
      <c r="F836" s="81" t="s">
        <v>474</v>
      </c>
      <c r="G836" s="81" t="s">
        <v>472</v>
      </c>
      <c r="H836" s="81">
        <v>1967</v>
      </c>
      <c r="I836" s="81" t="s">
        <v>473</v>
      </c>
    </row>
    <row r="837" spans="1:9" x14ac:dyDescent="0.3">
      <c r="A837" s="87">
        <v>9</v>
      </c>
      <c r="B837" s="23">
        <v>6</v>
      </c>
      <c r="C837" s="81">
        <v>4099</v>
      </c>
      <c r="D837" s="81">
        <v>1</v>
      </c>
      <c r="E837" s="70">
        <v>2</v>
      </c>
      <c r="F837" s="81" t="s">
        <v>474</v>
      </c>
      <c r="G837" s="81" t="s">
        <v>472</v>
      </c>
      <c r="H837" s="81">
        <v>1967</v>
      </c>
      <c r="I837" s="81" t="s">
        <v>473</v>
      </c>
    </row>
    <row r="838" spans="1:9" x14ac:dyDescent="0.3">
      <c r="A838" s="87">
        <v>9</v>
      </c>
      <c r="B838" s="23">
        <v>6</v>
      </c>
      <c r="C838" s="81">
        <v>4099</v>
      </c>
      <c r="D838" s="81">
        <v>1</v>
      </c>
      <c r="E838" s="70">
        <v>2</v>
      </c>
      <c r="F838" s="81" t="s">
        <v>474</v>
      </c>
      <c r="G838" s="81" t="s">
        <v>472</v>
      </c>
      <c r="H838" s="81">
        <v>1967</v>
      </c>
      <c r="I838" s="81" t="s">
        <v>473</v>
      </c>
    </row>
    <row r="839" spans="1:9" x14ac:dyDescent="0.3">
      <c r="A839" s="87">
        <v>9</v>
      </c>
      <c r="B839" s="23">
        <v>7</v>
      </c>
      <c r="C839" s="81">
        <v>4099</v>
      </c>
      <c r="D839" s="81">
        <v>1</v>
      </c>
      <c r="E839" s="70">
        <v>2</v>
      </c>
      <c r="F839" s="81" t="s">
        <v>474</v>
      </c>
      <c r="G839" s="81" t="s">
        <v>472</v>
      </c>
      <c r="H839" s="81">
        <v>1967</v>
      </c>
      <c r="I839" s="81" t="s">
        <v>473</v>
      </c>
    </row>
    <row r="840" spans="1:9" x14ac:dyDescent="0.3">
      <c r="A840" s="87">
        <v>9</v>
      </c>
      <c r="B840" s="23">
        <v>7</v>
      </c>
      <c r="C840" s="81">
        <v>4099</v>
      </c>
      <c r="D840" s="81">
        <v>1</v>
      </c>
      <c r="E840" s="70">
        <v>2</v>
      </c>
      <c r="F840" s="81" t="s">
        <v>474</v>
      </c>
      <c r="G840" s="81" t="s">
        <v>472</v>
      </c>
      <c r="H840" s="81">
        <v>1967</v>
      </c>
      <c r="I840" s="81" t="s">
        <v>473</v>
      </c>
    </row>
    <row r="841" spans="1:9" x14ac:dyDescent="0.3">
      <c r="A841" s="87">
        <v>9</v>
      </c>
      <c r="B841" s="23">
        <v>7</v>
      </c>
      <c r="C841" s="81">
        <v>4099</v>
      </c>
      <c r="D841" s="81">
        <v>1</v>
      </c>
      <c r="E841" s="70">
        <v>2</v>
      </c>
      <c r="F841" s="81" t="s">
        <v>474</v>
      </c>
      <c r="G841" s="81" t="s">
        <v>472</v>
      </c>
      <c r="H841" s="81">
        <v>1967</v>
      </c>
      <c r="I841" s="81" t="s">
        <v>473</v>
      </c>
    </row>
    <row r="842" spans="1:9" x14ac:dyDescent="0.3">
      <c r="A842" s="87">
        <v>9</v>
      </c>
      <c r="B842" s="23">
        <v>7</v>
      </c>
      <c r="C842" s="81">
        <v>4099</v>
      </c>
      <c r="D842" s="81">
        <v>1</v>
      </c>
      <c r="E842" s="70">
        <v>2</v>
      </c>
      <c r="F842" s="81" t="s">
        <v>474</v>
      </c>
      <c r="G842" s="81" t="s">
        <v>472</v>
      </c>
      <c r="H842" s="81">
        <v>1967</v>
      </c>
      <c r="I842" s="81" t="s">
        <v>473</v>
      </c>
    </row>
    <row r="843" spans="1:9" x14ac:dyDescent="0.3">
      <c r="A843" s="87">
        <v>9</v>
      </c>
      <c r="B843" s="23">
        <v>7</v>
      </c>
      <c r="C843" s="81">
        <v>4099</v>
      </c>
      <c r="D843" s="81">
        <v>1</v>
      </c>
      <c r="E843" s="70">
        <v>2</v>
      </c>
      <c r="F843" s="81" t="s">
        <v>474</v>
      </c>
      <c r="G843" s="81" t="s">
        <v>472</v>
      </c>
      <c r="H843" s="81">
        <v>1967</v>
      </c>
      <c r="I843" s="81" t="s">
        <v>473</v>
      </c>
    </row>
    <row r="844" spans="1:9" x14ac:dyDescent="0.3">
      <c r="A844" s="87">
        <v>9</v>
      </c>
      <c r="B844" s="23">
        <v>7</v>
      </c>
      <c r="C844" s="81">
        <v>4099</v>
      </c>
      <c r="D844" s="81">
        <v>1</v>
      </c>
      <c r="E844" s="70">
        <v>2</v>
      </c>
      <c r="F844" s="81" t="s">
        <v>474</v>
      </c>
      <c r="G844" s="81" t="s">
        <v>472</v>
      </c>
      <c r="H844" s="81">
        <v>1967</v>
      </c>
      <c r="I844" s="81" t="s">
        <v>473</v>
      </c>
    </row>
    <row r="845" spans="1:9" x14ac:dyDescent="0.3">
      <c r="A845" s="87">
        <v>9</v>
      </c>
      <c r="B845" s="23">
        <v>8</v>
      </c>
      <c r="C845" s="81">
        <v>4099</v>
      </c>
      <c r="D845" s="81">
        <v>1</v>
      </c>
      <c r="E845" s="70">
        <v>2</v>
      </c>
      <c r="F845" s="81" t="s">
        <v>474</v>
      </c>
      <c r="G845" s="81" t="s">
        <v>472</v>
      </c>
      <c r="H845" s="81">
        <v>1967</v>
      </c>
      <c r="I845" s="81" t="s">
        <v>473</v>
      </c>
    </row>
    <row r="846" spans="1:9" x14ac:dyDescent="0.3">
      <c r="A846" s="23">
        <v>9</v>
      </c>
      <c r="B846" s="23">
        <v>8</v>
      </c>
      <c r="C846" s="81">
        <v>4099</v>
      </c>
      <c r="D846" s="81">
        <v>1</v>
      </c>
      <c r="E846" s="70">
        <v>2</v>
      </c>
      <c r="F846" s="81" t="s">
        <v>474</v>
      </c>
      <c r="G846" s="81" t="s">
        <v>472</v>
      </c>
      <c r="H846" s="81">
        <v>1967</v>
      </c>
      <c r="I846" s="81" t="s">
        <v>473</v>
      </c>
    </row>
    <row r="847" spans="1:9" x14ac:dyDescent="0.3">
      <c r="A847" s="87">
        <v>9</v>
      </c>
      <c r="B847" s="23">
        <v>8</v>
      </c>
      <c r="C847" s="81">
        <v>4099</v>
      </c>
      <c r="D847" s="81">
        <v>1</v>
      </c>
      <c r="E847" s="70">
        <v>2</v>
      </c>
      <c r="F847" s="81" t="s">
        <v>474</v>
      </c>
      <c r="G847" s="81" t="s">
        <v>472</v>
      </c>
      <c r="H847" s="81">
        <v>1967</v>
      </c>
      <c r="I847" s="81" t="s">
        <v>473</v>
      </c>
    </row>
    <row r="848" spans="1:9" x14ac:dyDescent="0.3">
      <c r="A848" s="87">
        <v>9</v>
      </c>
      <c r="B848" s="23">
        <v>8</v>
      </c>
      <c r="C848" s="81">
        <v>4099</v>
      </c>
      <c r="D848" s="81">
        <v>1</v>
      </c>
      <c r="E848" s="70">
        <v>2</v>
      </c>
      <c r="F848" s="81" t="s">
        <v>474</v>
      </c>
      <c r="G848" s="81" t="s">
        <v>472</v>
      </c>
      <c r="H848" s="81">
        <v>1967</v>
      </c>
      <c r="I848" s="81" t="s">
        <v>473</v>
      </c>
    </row>
    <row r="849" spans="1:9" x14ac:dyDescent="0.3">
      <c r="A849" s="87">
        <v>9</v>
      </c>
      <c r="B849" s="23">
        <v>8</v>
      </c>
      <c r="C849" s="81">
        <v>4099</v>
      </c>
      <c r="D849" s="81">
        <v>1</v>
      </c>
      <c r="E849" s="70">
        <v>2</v>
      </c>
      <c r="F849" s="81" t="s">
        <v>474</v>
      </c>
      <c r="G849" s="81" t="s">
        <v>472</v>
      </c>
      <c r="H849" s="81">
        <v>1967</v>
      </c>
      <c r="I849" s="81" t="s">
        <v>473</v>
      </c>
    </row>
    <row r="850" spans="1:9" x14ac:dyDescent="0.3">
      <c r="A850" s="87">
        <v>9</v>
      </c>
      <c r="B850" s="23">
        <v>8</v>
      </c>
      <c r="C850" s="81">
        <v>4099</v>
      </c>
      <c r="D850" s="81">
        <v>1</v>
      </c>
      <c r="E850" s="70">
        <v>2</v>
      </c>
      <c r="F850" s="81" t="s">
        <v>474</v>
      </c>
      <c r="G850" s="81" t="s">
        <v>472</v>
      </c>
      <c r="H850" s="81">
        <v>1967</v>
      </c>
      <c r="I850" s="81" t="s">
        <v>473</v>
      </c>
    </row>
    <row r="851" spans="1:9" x14ac:dyDescent="0.3">
      <c r="A851" s="87">
        <v>9</v>
      </c>
      <c r="B851" s="23">
        <v>8</v>
      </c>
      <c r="C851" s="81">
        <v>4099</v>
      </c>
      <c r="D851" s="81">
        <v>1</v>
      </c>
      <c r="E851" s="70">
        <v>2</v>
      </c>
      <c r="F851" s="81" t="s">
        <v>474</v>
      </c>
      <c r="G851" s="81" t="s">
        <v>472</v>
      </c>
      <c r="H851" s="81">
        <v>1967</v>
      </c>
      <c r="I851" s="81" t="s">
        <v>473</v>
      </c>
    </row>
    <row r="852" spans="1:9" x14ac:dyDescent="0.3">
      <c r="A852" s="87">
        <v>9</v>
      </c>
      <c r="B852" s="23">
        <v>8</v>
      </c>
      <c r="C852" s="81">
        <v>4099</v>
      </c>
      <c r="D852" s="81">
        <v>1</v>
      </c>
      <c r="E852" s="70">
        <v>2</v>
      </c>
      <c r="F852" s="81" t="s">
        <v>474</v>
      </c>
      <c r="G852" s="81" t="s">
        <v>472</v>
      </c>
      <c r="H852" s="81">
        <v>1967</v>
      </c>
      <c r="I852" s="81" t="s">
        <v>473</v>
      </c>
    </row>
    <row r="853" spans="1:9" x14ac:dyDescent="0.3">
      <c r="A853" s="87">
        <v>10</v>
      </c>
      <c r="B853" s="23">
        <v>5</v>
      </c>
      <c r="C853" s="81">
        <v>4099</v>
      </c>
      <c r="D853" s="81">
        <v>1</v>
      </c>
      <c r="E853" s="70">
        <v>2</v>
      </c>
      <c r="F853" s="81" t="s">
        <v>474</v>
      </c>
      <c r="G853" s="81" t="s">
        <v>472</v>
      </c>
      <c r="H853" s="81">
        <v>1967</v>
      </c>
      <c r="I853" s="81" t="s">
        <v>473</v>
      </c>
    </row>
    <row r="854" spans="1:9" x14ac:dyDescent="0.3">
      <c r="A854" s="87">
        <v>10</v>
      </c>
      <c r="B854" s="23">
        <v>5</v>
      </c>
      <c r="C854" s="81">
        <v>4099</v>
      </c>
      <c r="D854" s="81">
        <v>1</v>
      </c>
      <c r="E854" s="70">
        <v>2</v>
      </c>
      <c r="F854" s="81" t="s">
        <v>474</v>
      </c>
      <c r="G854" s="81" t="s">
        <v>472</v>
      </c>
      <c r="H854" s="81">
        <v>1967</v>
      </c>
      <c r="I854" s="81" t="s">
        <v>473</v>
      </c>
    </row>
    <row r="855" spans="1:9" x14ac:dyDescent="0.3">
      <c r="A855" s="87">
        <v>10</v>
      </c>
      <c r="B855" s="23">
        <v>5</v>
      </c>
      <c r="C855" s="81">
        <v>4099</v>
      </c>
      <c r="D855" s="81">
        <v>1</v>
      </c>
      <c r="E855" s="70">
        <v>2</v>
      </c>
      <c r="F855" s="81" t="s">
        <v>474</v>
      </c>
      <c r="G855" s="81" t="s">
        <v>472</v>
      </c>
      <c r="H855" s="81">
        <v>1967</v>
      </c>
      <c r="I855" s="81" t="s">
        <v>473</v>
      </c>
    </row>
    <row r="856" spans="1:9" x14ac:dyDescent="0.3">
      <c r="A856" s="87">
        <v>10</v>
      </c>
      <c r="B856" s="23">
        <v>5</v>
      </c>
      <c r="C856" s="81">
        <v>4099</v>
      </c>
      <c r="D856" s="81">
        <v>1</v>
      </c>
      <c r="E856" s="70">
        <v>2</v>
      </c>
      <c r="F856" s="81" t="s">
        <v>474</v>
      </c>
      <c r="G856" s="81" t="s">
        <v>472</v>
      </c>
      <c r="H856" s="81">
        <v>1967</v>
      </c>
      <c r="I856" s="81" t="s">
        <v>473</v>
      </c>
    </row>
    <row r="857" spans="1:9" x14ac:dyDescent="0.3">
      <c r="A857" s="87">
        <v>10</v>
      </c>
      <c r="B857" s="23">
        <v>5</v>
      </c>
      <c r="C857" s="81">
        <v>4099</v>
      </c>
      <c r="D857" s="81">
        <v>1</v>
      </c>
      <c r="E857" s="70">
        <v>2</v>
      </c>
      <c r="F857" s="81" t="s">
        <v>474</v>
      </c>
      <c r="G857" s="81" t="s">
        <v>472</v>
      </c>
      <c r="H857" s="81">
        <v>1967</v>
      </c>
      <c r="I857" s="81" t="s">
        <v>473</v>
      </c>
    </row>
    <row r="858" spans="1:9" x14ac:dyDescent="0.3">
      <c r="A858" s="87">
        <v>10</v>
      </c>
      <c r="B858" s="23">
        <v>6</v>
      </c>
      <c r="C858" s="81">
        <v>4099</v>
      </c>
      <c r="D858" s="81">
        <v>1</v>
      </c>
      <c r="E858" s="70">
        <v>2</v>
      </c>
      <c r="F858" s="81" t="s">
        <v>474</v>
      </c>
      <c r="G858" s="81" t="s">
        <v>472</v>
      </c>
      <c r="H858" s="81">
        <v>1967</v>
      </c>
      <c r="I858" s="81" t="s">
        <v>473</v>
      </c>
    </row>
    <row r="859" spans="1:9" x14ac:dyDescent="0.3">
      <c r="A859" s="87">
        <v>10</v>
      </c>
      <c r="B859" s="23">
        <v>6</v>
      </c>
      <c r="C859" s="81">
        <v>4099</v>
      </c>
      <c r="D859" s="81">
        <v>1</v>
      </c>
      <c r="E859" s="70">
        <v>2</v>
      </c>
      <c r="F859" s="81" t="s">
        <v>474</v>
      </c>
      <c r="G859" s="81" t="s">
        <v>472</v>
      </c>
      <c r="H859" s="81">
        <v>1967</v>
      </c>
      <c r="I859" s="81" t="s">
        <v>473</v>
      </c>
    </row>
    <row r="860" spans="1:9" x14ac:dyDescent="0.3">
      <c r="A860" s="87">
        <v>10</v>
      </c>
      <c r="B860" s="23">
        <v>6</v>
      </c>
      <c r="C860" s="81">
        <v>4099</v>
      </c>
      <c r="D860" s="81">
        <v>1</v>
      </c>
      <c r="E860" s="70">
        <v>2</v>
      </c>
      <c r="F860" s="81" t="s">
        <v>474</v>
      </c>
      <c r="G860" s="81" t="s">
        <v>472</v>
      </c>
      <c r="H860" s="81">
        <v>1967</v>
      </c>
      <c r="I860" s="81" t="s">
        <v>473</v>
      </c>
    </row>
    <row r="861" spans="1:9" x14ac:dyDescent="0.3">
      <c r="A861" s="87">
        <v>10</v>
      </c>
      <c r="B861" s="23">
        <v>6</v>
      </c>
      <c r="C861" s="81">
        <v>4099</v>
      </c>
      <c r="D861" s="81">
        <v>1</v>
      </c>
      <c r="E861" s="70">
        <v>2</v>
      </c>
      <c r="F861" s="81" t="s">
        <v>474</v>
      </c>
      <c r="G861" s="81" t="s">
        <v>472</v>
      </c>
      <c r="H861" s="81">
        <v>1967</v>
      </c>
      <c r="I861" s="81" t="s">
        <v>473</v>
      </c>
    </row>
    <row r="862" spans="1:9" x14ac:dyDescent="0.3">
      <c r="A862" s="87">
        <v>10</v>
      </c>
      <c r="B862" s="23">
        <v>6</v>
      </c>
      <c r="C862" s="81">
        <v>4099</v>
      </c>
      <c r="D862" s="81">
        <v>1</v>
      </c>
      <c r="E862" s="70">
        <v>2</v>
      </c>
      <c r="F862" s="81" t="s">
        <v>474</v>
      </c>
      <c r="G862" s="81" t="s">
        <v>472</v>
      </c>
      <c r="H862" s="81">
        <v>1967</v>
      </c>
      <c r="I862" s="81" t="s">
        <v>473</v>
      </c>
    </row>
    <row r="863" spans="1:9" x14ac:dyDescent="0.3">
      <c r="A863" s="87">
        <v>10</v>
      </c>
      <c r="B863" s="23">
        <v>6</v>
      </c>
      <c r="C863" s="81">
        <v>4099</v>
      </c>
      <c r="D863" s="81">
        <v>1</v>
      </c>
      <c r="E863" s="70">
        <v>2</v>
      </c>
      <c r="F863" s="81" t="s">
        <v>474</v>
      </c>
      <c r="G863" s="81" t="s">
        <v>472</v>
      </c>
      <c r="H863" s="81">
        <v>1967</v>
      </c>
      <c r="I863" s="81" t="s">
        <v>473</v>
      </c>
    </row>
    <row r="864" spans="1:9" x14ac:dyDescent="0.3">
      <c r="A864" s="87">
        <v>10</v>
      </c>
      <c r="B864" s="23">
        <v>6</v>
      </c>
      <c r="C864" s="81">
        <v>4099</v>
      </c>
      <c r="D864" s="81">
        <v>1</v>
      </c>
      <c r="E864" s="70">
        <v>2</v>
      </c>
      <c r="F864" s="81" t="s">
        <v>474</v>
      </c>
      <c r="G864" s="81" t="s">
        <v>472</v>
      </c>
      <c r="H864" s="81">
        <v>1967</v>
      </c>
      <c r="I864" s="81" t="s">
        <v>473</v>
      </c>
    </row>
    <row r="865" spans="1:9" x14ac:dyDescent="0.3">
      <c r="A865" s="87">
        <v>10</v>
      </c>
      <c r="B865" s="23">
        <v>7</v>
      </c>
      <c r="C865" s="81">
        <v>4099</v>
      </c>
      <c r="D865" s="81">
        <v>1</v>
      </c>
      <c r="E865" s="70">
        <v>2</v>
      </c>
      <c r="F865" s="81" t="s">
        <v>474</v>
      </c>
      <c r="G865" s="81" t="s">
        <v>472</v>
      </c>
      <c r="H865" s="81">
        <v>1967</v>
      </c>
      <c r="I865" s="81" t="s">
        <v>473</v>
      </c>
    </row>
    <row r="866" spans="1:9" x14ac:dyDescent="0.3">
      <c r="A866" s="87">
        <v>10</v>
      </c>
      <c r="B866" s="23">
        <v>7</v>
      </c>
      <c r="C866" s="81">
        <v>4099</v>
      </c>
      <c r="D866" s="81">
        <v>1</v>
      </c>
      <c r="E866" s="70">
        <v>2</v>
      </c>
      <c r="F866" s="81" t="s">
        <v>474</v>
      </c>
      <c r="G866" s="81" t="s">
        <v>472</v>
      </c>
      <c r="H866" s="81">
        <v>1967</v>
      </c>
      <c r="I866" s="81" t="s">
        <v>473</v>
      </c>
    </row>
    <row r="867" spans="1:9" x14ac:dyDescent="0.3">
      <c r="A867" s="87">
        <v>10</v>
      </c>
      <c r="B867" s="23">
        <v>7</v>
      </c>
      <c r="C867" s="81">
        <v>4099</v>
      </c>
      <c r="D867" s="81">
        <v>1</v>
      </c>
      <c r="E867" s="70">
        <v>2</v>
      </c>
      <c r="F867" s="81" t="s">
        <v>474</v>
      </c>
      <c r="G867" s="81" t="s">
        <v>472</v>
      </c>
      <c r="H867" s="81">
        <v>1967</v>
      </c>
      <c r="I867" s="81" t="s">
        <v>473</v>
      </c>
    </row>
    <row r="868" spans="1:9" x14ac:dyDescent="0.3">
      <c r="A868" s="87">
        <v>10</v>
      </c>
      <c r="B868" s="23">
        <v>7</v>
      </c>
      <c r="C868" s="81">
        <v>4099</v>
      </c>
      <c r="D868" s="81">
        <v>1</v>
      </c>
      <c r="E868" s="70">
        <v>2</v>
      </c>
      <c r="F868" s="81" t="s">
        <v>474</v>
      </c>
      <c r="G868" s="81" t="s">
        <v>472</v>
      </c>
      <c r="H868" s="81">
        <v>1967</v>
      </c>
      <c r="I868" s="81" t="s">
        <v>473</v>
      </c>
    </row>
    <row r="869" spans="1:9" x14ac:dyDescent="0.3">
      <c r="A869" s="87">
        <v>10</v>
      </c>
      <c r="B869" s="23">
        <v>7</v>
      </c>
      <c r="C869" s="81">
        <v>4099</v>
      </c>
      <c r="D869" s="81">
        <v>1</v>
      </c>
      <c r="E869" s="70">
        <v>2</v>
      </c>
      <c r="F869" s="81" t="s">
        <v>474</v>
      </c>
      <c r="G869" s="81" t="s">
        <v>472</v>
      </c>
      <c r="H869" s="81">
        <v>1967</v>
      </c>
      <c r="I869" s="81" t="s">
        <v>473</v>
      </c>
    </row>
    <row r="870" spans="1:9" x14ac:dyDescent="0.3">
      <c r="A870" s="23">
        <v>10</v>
      </c>
      <c r="B870" s="23">
        <v>7</v>
      </c>
      <c r="C870" s="81">
        <v>4099</v>
      </c>
      <c r="D870" s="81">
        <v>1</v>
      </c>
      <c r="E870" s="70">
        <v>2</v>
      </c>
      <c r="F870" s="81" t="s">
        <v>474</v>
      </c>
      <c r="G870" s="81" t="s">
        <v>472</v>
      </c>
      <c r="H870" s="81">
        <v>1967</v>
      </c>
      <c r="I870" s="81" t="s">
        <v>473</v>
      </c>
    </row>
    <row r="871" spans="1:9" x14ac:dyDescent="0.3">
      <c r="A871" s="87">
        <v>10</v>
      </c>
      <c r="B871" s="23">
        <v>7</v>
      </c>
      <c r="C871" s="81">
        <v>4099</v>
      </c>
      <c r="D871" s="81">
        <v>1</v>
      </c>
      <c r="E871" s="70">
        <v>2</v>
      </c>
      <c r="F871" s="81" t="s">
        <v>474</v>
      </c>
      <c r="G871" s="81" t="s">
        <v>472</v>
      </c>
      <c r="H871" s="81">
        <v>1967</v>
      </c>
      <c r="I871" s="81" t="s">
        <v>473</v>
      </c>
    </row>
    <row r="872" spans="1:9" x14ac:dyDescent="0.3">
      <c r="A872" s="87">
        <v>10</v>
      </c>
      <c r="B872" s="23">
        <v>7</v>
      </c>
      <c r="C872" s="81">
        <v>4099</v>
      </c>
      <c r="D872" s="81">
        <v>1</v>
      </c>
      <c r="E872" s="70">
        <v>2</v>
      </c>
      <c r="F872" s="81" t="s">
        <v>474</v>
      </c>
      <c r="G872" s="81" t="s">
        <v>472</v>
      </c>
      <c r="H872" s="81">
        <v>1967</v>
      </c>
      <c r="I872" s="81" t="s">
        <v>473</v>
      </c>
    </row>
    <row r="873" spans="1:9" x14ac:dyDescent="0.3">
      <c r="A873" s="87">
        <v>10</v>
      </c>
      <c r="B873" s="23">
        <v>8</v>
      </c>
      <c r="C873" s="81">
        <v>4099</v>
      </c>
      <c r="D873" s="81">
        <v>1</v>
      </c>
      <c r="E873" s="70">
        <v>2</v>
      </c>
      <c r="F873" s="81" t="s">
        <v>474</v>
      </c>
      <c r="G873" s="81" t="s">
        <v>472</v>
      </c>
      <c r="H873" s="81">
        <v>1967</v>
      </c>
      <c r="I873" s="81" t="s">
        <v>473</v>
      </c>
    </row>
    <row r="874" spans="1:9" x14ac:dyDescent="0.3">
      <c r="A874" s="87">
        <v>10</v>
      </c>
      <c r="B874" s="23">
        <v>8</v>
      </c>
      <c r="C874" s="81">
        <v>4099</v>
      </c>
      <c r="D874" s="81">
        <v>1</v>
      </c>
      <c r="E874" s="70">
        <v>2</v>
      </c>
      <c r="F874" s="81" t="s">
        <v>474</v>
      </c>
      <c r="G874" s="81" t="s">
        <v>472</v>
      </c>
      <c r="H874" s="81">
        <v>1967</v>
      </c>
      <c r="I874" s="81" t="s">
        <v>473</v>
      </c>
    </row>
    <row r="875" spans="1:9" x14ac:dyDescent="0.3">
      <c r="A875" s="87">
        <v>10</v>
      </c>
      <c r="B875" s="23">
        <v>8</v>
      </c>
      <c r="C875" s="81">
        <v>4099</v>
      </c>
      <c r="D875" s="81">
        <v>1</v>
      </c>
      <c r="E875" s="70">
        <v>2</v>
      </c>
      <c r="F875" s="81" t="s">
        <v>474</v>
      </c>
      <c r="G875" s="81" t="s">
        <v>472</v>
      </c>
      <c r="H875" s="81">
        <v>1967</v>
      </c>
      <c r="I875" s="81" t="s">
        <v>473</v>
      </c>
    </row>
    <row r="876" spans="1:9" x14ac:dyDescent="0.3">
      <c r="A876" s="87">
        <v>10</v>
      </c>
      <c r="B876" s="23">
        <v>8</v>
      </c>
      <c r="C876" s="81">
        <v>4099</v>
      </c>
      <c r="D876" s="81">
        <v>1</v>
      </c>
      <c r="E876" s="70">
        <v>2</v>
      </c>
      <c r="F876" s="81" t="s">
        <v>474</v>
      </c>
      <c r="G876" s="81" t="s">
        <v>472</v>
      </c>
      <c r="H876" s="81">
        <v>1967</v>
      </c>
      <c r="I876" s="81" t="s">
        <v>473</v>
      </c>
    </row>
    <row r="877" spans="1:9" x14ac:dyDescent="0.3">
      <c r="A877" s="87">
        <v>10</v>
      </c>
      <c r="B877" s="23">
        <v>8</v>
      </c>
      <c r="C877" s="81">
        <v>4099</v>
      </c>
      <c r="D877" s="81">
        <v>1</v>
      </c>
      <c r="E877" s="70">
        <v>2</v>
      </c>
      <c r="F877" s="81" t="s">
        <v>474</v>
      </c>
      <c r="G877" s="81" t="s">
        <v>472</v>
      </c>
      <c r="H877" s="81">
        <v>1967</v>
      </c>
      <c r="I877" s="81" t="s">
        <v>473</v>
      </c>
    </row>
    <row r="878" spans="1:9" x14ac:dyDescent="0.3">
      <c r="A878" s="87">
        <v>10</v>
      </c>
      <c r="B878" s="23">
        <v>8</v>
      </c>
      <c r="C878" s="81">
        <v>4099</v>
      </c>
      <c r="D878" s="81">
        <v>1</v>
      </c>
      <c r="E878" s="70">
        <v>2</v>
      </c>
      <c r="F878" s="81" t="s">
        <v>474</v>
      </c>
      <c r="G878" s="81" t="s">
        <v>472</v>
      </c>
      <c r="H878" s="81">
        <v>1967</v>
      </c>
      <c r="I878" s="81" t="s">
        <v>473</v>
      </c>
    </row>
    <row r="879" spans="1:9" x14ac:dyDescent="0.3">
      <c r="A879" s="87">
        <v>10</v>
      </c>
      <c r="B879" s="23">
        <v>8</v>
      </c>
      <c r="C879" s="81">
        <v>4099</v>
      </c>
      <c r="D879" s="81">
        <v>1</v>
      </c>
      <c r="E879" s="70">
        <v>2</v>
      </c>
      <c r="F879" s="81" t="s">
        <v>474</v>
      </c>
      <c r="G879" s="81" t="s">
        <v>472</v>
      </c>
      <c r="H879" s="81">
        <v>1967</v>
      </c>
      <c r="I879" s="81" t="s">
        <v>473</v>
      </c>
    </row>
    <row r="880" spans="1:9" x14ac:dyDescent="0.3">
      <c r="A880" s="87">
        <v>10</v>
      </c>
      <c r="B880" s="23">
        <v>9</v>
      </c>
      <c r="C880" s="81">
        <v>4099</v>
      </c>
      <c r="D880" s="81">
        <v>1</v>
      </c>
      <c r="E880" s="70">
        <v>2</v>
      </c>
      <c r="F880" s="81" t="s">
        <v>474</v>
      </c>
      <c r="G880" s="81" t="s">
        <v>472</v>
      </c>
      <c r="H880" s="81">
        <v>1967</v>
      </c>
      <c r="I880" s="81" t="s">
        <v>473</v>
      </c>
    </row>
    <row r="881" spans="1:9" x14ac:dyDescent="0.3">
      <c r="A881" s="87">
        <v>10</v>
      </c>
      <c r="B881" s="23">
        <v>9</v>
      </c>
      <c r="C881" s="81">
        <v>4099</v>
      </c>
      <c r="D881" s="81">
        <v>1</v>
      </c>
      <c r="E881" s="70">
        <v>2</v>
      </c>
      <c r="F881" s="81" t="s">
        <v>474</v>
      </c>
      <c r="G881" s="81" t="s">
        <v>472</v>
      </c>
      <c r="H881" s="81">
        <v>1967</v>
      </c>
      <c r="I881" s="81" t="s">
        <v>473</v>
      </c>
    </row>
    <row r="882" spans="1:9" x14ac:dyDescent="0.3">
      <c r="A882" s="87">
        <v>10</v>
      </c>
      <c r="B882" s="23">
        <v>9</v>
      </c>
      <c r="C882" s="81">
        <v>4099</v>
      </c>
      <c r="D882" s="81">
        <v>1</v>
      </c>
      <c r="E882" s="70">
        <v>2</v>
      </c>
      <c r="F882" s="81" t="s">
        <v>474</v>
      </c>
      <c r="G882" s="81" t="s">
        <v>472</v>
      </c>
      <c r="H882" s="81">
        <v>1967</v>
      </c>
      <c r="I882" s="81" t="s">
        <v>473</v>
      </c>
    </row>
    <row r="883" spans="1:9" x14ac:dyDescent="0.3">
      <c r="A883" s="87">
        <v>10</v>
      </c>
      <c r="B883" s="23">
        <v>9</v>
      </c>
      <c r="C883" s="81">
        <v>4099</v>
      </c>
      <c r="D883" s="81">
        <v>1</v>
      </c>
      <c r="E883" s="70">
        <v>2</v>
      </c>
      <c r="F883" s="81" t="s">
        <v>474</v>
      </c>
      <c r="G883" s="81" t="s">
        <v>472</v>
      </c>
      <c r="H883" s="81">
        <v>1967</v>
      </c>
      <c r="I883" s="81" t="s">
        <v>473</v>
      </c>
    </row>
    <row r="884" spans="1:9" x14ac:dyDescent="0.3">
      <c r="A884" s="87">
        <v>10</v>
      </c>
      <c r="B884" s="23">
        <v>9</v>
      </c>
      <c r="C884" s="81">
        <v>4099</v>
      </c>
      <c r="D884" s="81">
        <v>1</v>
      </c>
      <c r="E884" s="70">
        <v>2</v>
      </c>
      <c r="F884" s="81" t="s">
        <v>474</v>
      </c>
      <c r="G884" s="81" t="s">
        <v>472</v>
      </c>
      <c r="H884" s="81">
        <v>1967</v>
      </c>
      <c r="I884" s="81" t="s">
        <v>473</v>
      </c>
    </row>
    <row r="885" spans="1:9" x14ac:dyDescent="0.3">
      <c r="A885" s="87">
        <v>10</v>
      </c>
      <c r="B885" s="23">
        <v>9</v>
      </c>
      <c r="C885" s="81">
        <v>4099</v>
      </c>
      <c r="D885" s="81">
        <v>1</v>
      </c>
      <c r="E885" s="70">
        <v>2</v>
      </c>
      <c r="F885" s="81" t="s">
        <v>474</v>
      </c>
      <c r="G885" s="81" t="s">
        <v>472</v>
      </c>
      <c r="H885" s="81">
        <v>1967</v>
      </c>
      <c r="I885" s="81" t="s">
        <v>473</v>
      </c>
    </row>
    <row r="886" spans="1:9" x14ac:dyDescent="0.3">
      <c r="A886" s="23">
        <v>10</v>
      </c>
      <c r="B886" s="23">
        <v>9</v>
      </c>
      <c r="C886" s="81">
        <v>4099</v>
      </c>
      <c r="D886" s="81">
        <v>1</v>
      </c>
      <c r="E886" s="70">
        <v>2</v>
      </c>
      <c r="F886" s="81" t="s">
        <v>474</v>
      </c>
      <c r="G886" s="81" t="s">
        <v>472</v>
      </c>
      <c r="H886" s="81">
        <v>1967</v>
      </c>
      <c r="I886" s="81" t="s">
        <v>473</v>
      </c>
    </row>
    <row r="887" spans="1:9" x14ac:dyDescent="0.3">
      <c r="A887" s="87">
        <v>10</v>
      </c>
      <c r="B887" s="23">
        <v>10</v>
      </c>
      <c r="C887" s="81">
        <v>4099</v>
      </c>
      <c r="D887" s="81">
        <v>1</v>
      </c>
      <c r="E887" s="70">
        <v>2</v>
      </c>
      <c r="F887" s="81" t="s">
        <v>474</v>
      </c>
      <c r="G887" s="81" t="s">
        <v>472</v>
      </c>
      <c r="H887" s="81">
        <v>1967</v>
      </c>
      <c r="I887" s="81" t="s">
        <v>473</v>
      </c>
    </row>
    <row r="888" spans="1:9" x14ac:dyDescent="0.3">
      <c r="A888" s="87">
        <v>10</v>
      </c>
      <c r="B888" s="23">
        <v>10</v>
      </c>
      <c r="C888" s="81">
        <v>4099</v>
      </c>
      <c r="D888" s="81">
        <v>1</v>
      </c>
      <c r="E888" s="70">
        <v>2</v>
      </c>
      <c r="F888" s="81" t="s">
        <v>474</v>
      </c>
      <c r="G888" s="81" t="s">
        <v>472</v>
      </c>
      <c r="H888" s="81">
        <v>1967</v>
      </c>
      <c r="I888" s="81" t="s">
        <v>473</v>
      </c>
    </row>
    <row r="889" spans="1:9" x14ac:dyDescent="0.3">
      <c r="A889" s="87">
        <v>10</v>
      </c>
      <c r="B889" s="23">
        <v>10</v>
      </c>
      <c r="C889" s="81">
        <v>4099</v>
      </c>
      <c r="D889" s="81">
        <v>1</v>
      </c>
      <c r="E889" s="70">
        <v>2</v>
      </c>
      <c r="F889" s="81" t="s">
        <v>474</v>
      </c>
      <c r="G889" s="81" t="s">
        <v>472</v>
      </c>
      <c r="H889" s="81">
        <v>1967</v>
      </c>
      <c r="I889" s="81" t="s">
        <v>473</v>
      </c>
    </row>
    <row r="890" spans="1:9" x14ac:dyDescent="0.3">
      <c r="A890" s="87">
        <v>10</v>
      </c>
      <c r="B890" s="23">
        <v>10</v>
      </c>
      <c r="C890" s="81">
        <v>4099</v>
      </c>
      <c r="D890" s="81">
        <v>1</v>
      </c>
      <c r="E890" s="70">
        <v>2</v>
      </c>
      <c r="F890" s="81" t="s">
        <v>474</v>
      </c>
      <c r="G890" s="81" t="s">
        <v>472</v>
      </c>
      <c r="H890" s="81">
        <v>1967</v>
      </c>
      <c r="I890" s="81" t="s">
        <v>473</v>
      </c>
    </row>
    <row r="891" spans="1:9" x14ac:dyDescent="0.3">
      <c r="A891" s="87">
        <v>10</v>
      </c>
      <c r="B891" s="23">
        <v>10</v>
      </c>
      <c r="C891" s="81">
        <v>4099</v>
      </c>
      <c r="D891" s="81">
        <v>1</v>
      </c>
      <c r="E891" s="70">
        <v>2</v>
      </c>
      <c r="F891" s="81" t="s">
        <v>474</v>
      </c>
      <c r="G891" s="81" t="s">
        <v>472</v>
      </c>
      <c r="H891" s="81">
        <v>1967</v>
      </c>
      <c r="I891" s="81" t="s">
        <v>473</v>
      </c>
    </row>
    <row r="892" spans="1:9" x14ac:dyDescent="0.3">
      <c r="A892" s="87">
        <v>11</v>
      </c>
      <c r="B892" s="23">
        <v>6</v>
      </c>
      <c r="C892" s="81">
        <v>4099</v>
      </c>
      <c r="D892" s="81">
        <v>1</v>
      </c>
      <c r="E892" s="70">
        <v>2</v>
      </c>
      <c r="F892" s="81" t="s">
        <v>474</v>
      </c>
      <c r="G892" s="81" t="s">
        <v>472</v>
      </c>
      <c r="H892" s="81">
        <v>1967</v>
      </c>
      <c r="I892" s="81" t="s">
        <v>473</v>
      </c>
    </row>
    <row r="893" spans="1:9" x14ac:dyDescent="0.3">
      <c r="A893" s="87">
        <v>11</v>
      </c>
      <c r="B893" s="23">
        <v>6</v>
      </c>
      <c r="C893" s="81">
        <v>4099</v>
      </c>
      <c r="D893" s="81">
        <v>1</v>
      </c>
      <c r="E893" s="70">
        <v>2</v>
      </c>
      <c r="F893" s="81" t="s">
        <v>474</v>
      </c>
      <c r="G893" s="81" t="s">
        <v>472</v>
      </c>
      <c r="H893" s="81">
        <v>1967</v>
      </c>
      <c r="I893" s="81" t="s">
        <v>473</v>
      </c>
    </row>
    <row r="894" spans="1:9" x14ac:dyDescent="0.3">
      <c r="A894" s="87">
        <v>11</v>
      </c>
      <c r="B894" s="23">
        <v>6</v>
      </c>
      <c r="C894" s="81">
        <v>4099</v>
      </c>
      <c r="D894" s="81">
        <v>1</v>
      </c>
      <c r="E894" s="70">
        <v>2</v>
      </c>
      <c r="F894" s="81" t="s">
        <v>474</v>
      </c>
      <c r="G894" s="81" t="s">
        <v>472</v>
      </c>
      <c r="H894" s="81">
        <v>1967</v>
      </c>
      <c r="I894" s="81" t="s">
        <v>473</v>
      </c>
    </row>
    <row r="895" spans="1:9" x14ac:dyDescent="0.3">
      <c r="A895" s="87">
        <v>11</v>
      </c>
      <c r="B895" s="23">
        <v>7</v>
      </c>
      <c r="C895" s="81">
        <v>4099</v>
      </c>
      <c r="D895" s="81">
        <v>1</v>
      </c>
      <c r="E895" s="70">
        <v>2</v>
      </c>
      <c r="F895" s="81" t="s">
        <v>474</v>
      </c>
      <c r="G895" s="81" t="s">
        <v>472</v>
      </c>
      <c r="H895" s="81">
        <v>1967</v>
      </c>
      <c r="I895" s="81" t="s">
        <v>473</v>
      </c>
    </row>
    <row r="896" spans="1:9" x14ac:dyDescent="0.3">
      <c r="A896" s="23">
        <v>11</v>
      </c>
      <c r="B896" s="23">
        <v>7</v>
      </c>
      <c r="C896" s="81">
        <v>4099</v>
      </c>
      <c r="D896" s="81">
        <v>1</v>
      </c>
      <c r="E896" s="70">
        <v>2</v>
      </c>
      <c r="F896" s="81" t="s">
        <v>474</v>
      </c>
      <c r="G896" s="81" t="s">
        <v>472</v>
      </c>
      <c r="H896" s="81">
        <v>1967</v>
      </c>
      <c r="I896" s="81" t="s">
        <v>473</v>
      </c>
    </row>
    <row r="897" spans="1:9" x14ac:dyDescent="0.3">
      <c r="A897" s="23">
        <v>11</v>
      </c>
      <c r="B897" s="23">
        <v>7</v>
      </c>
      <c r="C897" s="81">
        <v>4099</v>
      </c>
      <c r="D897" s="81">
        <v>1</v>
      </c>
      <c r="E897" s="70">
        <v>2</v>
      </c>
      <c r="F897" s="81" t="s">
        <v>474</v>
      </c>
      <c r="G897" s="81" t="s">
        <v>472</v>
      </c>
      <c r="H897" s="81">
        <v>1967</v>
      </c>
      <c r="I897" s="81" t="s">
        <v>473</v>
      </c>
    </row>
    <row r="898" spans="1:9" x14ac:dyDescent="0.3">
      <c r="A898" s="23">
        <v>11</v>
      </c>
      <c r="B898" s="23">
        <v>7</v>
      </c>
      <c r="C898" s="81">
        <v>4099</v>
      </c>
      <c r="D898" s="81">
        <v>1</v>
      </c>
      <c r="E898" s="70">
        <v>2</v>
      </c>
      <c r="F898" s="81" t="s">
        <v>474</v>
      </c>
      <c r="G898" s="81" t="s">
        <v>472</v>
      </c>
      <c r="H898" s="81">
        <v>1967</v>
      </c>
      <c r="I898" s="81" t="s">
        <v>473</v>
      </c>
    </row>
    <row r="899" spans="1:9" x14ac:dyDescent="0.3">
      <c r="A899" s="23">
        <v>11</v>
      </c>
      <c r="B899" s="23">
        <v>7</v>
      </c>
      <c r="C899" s="15">
        <v>4099</v>
      </c>
      <c r="D899" s="81">
        <v>1</v>
      </c>
      <c r="E899" s="4">
        <v>2</v>
      </c>
      <c r="F899" s="15" t="s">
        <v>474</v>
      </c>
      <c r="G899" s="15" t="s">
        <v>472</v>
      </c>
      <c r="H899" s="15">
        <v>1967</v>
      </c>
      <c r="I899" s="15" t="s">
        <v>473</v>
      </c>
    </row>
    <row r="900" spans="1:9" x14ac:dyDescent="0.3">
      <c r="A900" s="23">
        <v>11</v>
      </c>
      <c r="B900" s="23">
        <v>7</v>
      </c>
      <c r="C900" s="81">
        <v>4099</v>
      </c>
      <c r="D900" s="81">
        <v>1</v>
      </c>
      <c r="E900" s="70">
        <v>2</v>
      </c>
      <c r="F900" s="81" t="s">
        <v>474</v>
      </c>
      <c r="G900" s="81" t="s">
        <v>472</v>
      </c>
      <c r="H900" s="81">
        <v>1967</v>
      </c>
      <c r="I900" s="81" t="s">
        <v>473</v>
      </c>
    </row>
    <row r="901" spans="1:9" x14ac:dyDescent="0.3">
      <c r="A901" s="23">
        <v>11</v>
      </c>
      <c r="B901" s="23">
        <v>7</v>
      </c>
      <c r="C901" s="81">
        <v>4099</v>
      </c>
      <c r="D901" s="81">
        <v>1</v>
      </c>
      <c r="E901" s="70">
        <v>2</v>
      </c>
      <c r="F901" s="81" t="s">
        <v>474</v>
      </c>
      <c r="G901" s="81" t="s">
        <v>472</v>
      </c>
      <c r="H901" s="81">
        <v>1967</v>
      </c>
      <c r="I901" s="81" t="s">
        <v>473</v>
      </c>
    </row>
    <row r="902" spans="1:9" x14ac:dyDescent="0.3">
      <c r="A902" s="23">
        <v>11</v>
      </c>
      <c r="B902" s="23">
        <v>8</v>
      </c>
      <c r="C902" s="81">
        <v>4099</v>
      </c>
      <c r="D902" s="81">
        <v>1</v>
      </c>
      <c r="E902" s="70">
        <v>2</v>
      </c>
      <c r="F902" s="81" t="s">
        <v>474</v>
      </c>
      <c r="G902" s="81" t="s">
        <v>472</v>
      </c>
      <c r="H902" s="81">
        <v>1967</v>
      </c>
      <c r="I902" s="81" t="s">
        <v>473</v>
      </c>
    </row>
    <row r="903" spans="1:9" x14ac:dyDescent="0.3">
      <c r="A903" s="23">
        <v>11</v>
      </c>
      <c r="B903" s="23">
        <v>8</v>
      </c>
      <c r="C903" s="81">
        <v>4099</v>
      </c>
      <c r="D903" s="81">
        <v>1</v>
      </c>
      <c r="E903" s="70">
        <v>2</v>
      </c>
      <c r="F903" s="81" t="s">
        <v>474</v>
      </c>
      <c r="G903" s="81" t="s">
        <v>472</v>
      </c>
      <c r="H903" s="81">
        <v>1967</v>
      </c>
      <c r="I903" s="81" t="s">
        <v>473</v>
      </c>
    </row>
    <row r="904" spans="1:9" x14ac:dyDescent="0.3">
      <c r="A904" s="23">
        <v>11</v>
      </c>
      <c r="B904" s="23">
        <v>8</v>
      </c>
      <c r="C904" s="81">
        <v>4099</v>
      </c>
      <c r="D904" s="81">
        <v>1</v>
      </c>
      <c r="E904" s="70">
        <v>2</v>
      </c>
      <c r="F904" s="81" t="s">
        <v>474</v>
      </c>
      <c r="G904" s="81" t="s">
        <v>472</v>
      </c>
      <c r="H904" s="81">
        <v>1967</v>
      </c>
      <c r="I904" s="81" t="s">
        <v>473</v>
      </c>
    </row>
    <row r="905" spans="1:9" x14ac:dyDescent="0.3">
      <c r="A905" s="23">
        <v>11</v>
      </c>
      <c r="B905" s="23">
        <v>8</v>
      </c>
      <c r="C905" s="81">
        <v>4099</v>
      </c>
      <c r="D905" s="81">
        <v>1</v>
      </c>
      <c r="E905" s="70">
        <v>2</v>
      </c>
      <c r="F905" s="81" t="s">
        <v>474</v>
      </c>
      <c r="G905" s="81" t="s">
        <v>472</v>
      </c>
      <c r="H905" s="81">
        <v>1967</v>
      </c>
      <c r="I905" s="81" t="s">
        <v>473</v>
      </c>
    </row>
    <row r="906" spans="1:9" x14ac:dyDescent="0.3">
      <c r="A906" s="23">
        <v>11</v>
      </c>
      <c r="B906" s="23">
        <v>9</v>
      </c>
      <c r="C906" s="81">
        <v>4099</v>
      </c>
      <c r="D906" s="81">
        <v>1</v>
      </c>
      <c r="E906" s="70">
        <v>2</v>
      </c>
      <c r="F906" s="81" t="s">
        <v>474</v>
      </c>
      <c r="G906" s="81" t="s">
        <v>472</v>
      </c>
      <c r="H906" s="81">
        <v>1967</v>
      </c>
      <c r="I906" s="81" t="s">
        <v>473</v>
      </c>
    </row>
    <row r="907" spans="1:9" x14ac:dyDescent="0.3">
      <c r="A907" s="23">
        <v>11</v>
      </c>
      <c r="B907" s="23">
        <v>9</v>
      </c>
      <c r="C907" s="81">
        <v>4099</v>
      </c>
      <c r="D907" s="81">
        <v>1</v>
      </c>
      <c r="E907" s="70">
        <v>2</v>
      </c>
      <c r="F907" s="81" t="s">
        <v>474</v>
      </c>
      <c r="G907" s="81" t="s">
        <v>472</v>
      </c>
      <c r="H907" s="81">
        <v>1967</v>
      </c>
      <c r="I907" s="81" t="s">
        <v>473</v>
      </c>
    </row>
    <row r="908" spans="1:9" x14ac:dyDescent="0.3">
      <c r="A908" s="23">
        <v>11</v>
      </c>
      <c r="B908" s="23">
        <v>9</v>
      </c>
      <c r="C908" s="81">
        <v>4099</v>
      </c>
      <c r="D908" s="81">
        <v>1</v>
      </c>
      <c r="E908" s="70">
        <v>2</v>
      </c>
      <c r="F908" s="81" t="s">
        <v>474</v>
      </c>
      <c r="G908" s="81" t="s">
        <v>472</v>
      </c>
      <c r="H908" s="81">
        <v>1967</v>
      </c>
      <c r="I908" s="81" t="s">
        <v>473</v>
      </c>
    </row>
    <row r="909" spans="1:9" x14ac:dyDescent="0.3">
      <c r="A909" s="23">
        <v>11</v>
      </c>
      <c r="B909" s="23">
        <v>10</v>
      </c>
      <c r="C909" s="81">
        <v>4099</v>
      </c>
      <c r="D909" s="81">
        <v>1</v>
      </c>
      <c r="E909" s="70">
        <v>2</v>
      </c>
      <c r="F909" s="81" t="s">
        <v>474</v>
      </c>
      <c r="G909" s="81" t="s">
        <v>472</v>
      </c>
      <c r="H909" s="81">
        <v>1967</v>
      </c>
      <c r="I909" s="81" t="s">
        <v>473</v>
      </c>
    </row>
    <row r="910" spans="1:9" x14ac:dyDescent="0.3">
      <c r="A910" s="23">
        <v>11</v>
      </c>
      <c r="B910" s="23">
        <v>10</v>
      </c>
      <c r="C910" s="81">
        <v>4099</v>
      </c>
      <c r="D910" s="81">
        <v>1</v>
      </c>
      <c r="E910" s="70">
        <v>2</v>
      </c>
      <c r="F910" s="81" t="s">
        <v>474</v>
      </c>
      <c r="G910" s="81" t="s">
        <v>472</v>
      </c>
      <c r="H910" s="81">
        <v>1967</v>
      </c>
      <c r="I910" s="81" t="s">
        <v>473</v>
      </c>
    </row>
    <row r="911" spans="1:9" x14ac:dyDescent="0.3">
      <c r="A911" s="23">
        <v>11</v>
      </c>
      <c r="B911" s="23">
        <v>11</v>
      </c>
      <c r="C911" s="81">
        <v>4099</v>
      </c>
      <c r="D911" s="81">
        <v>1</v>
      </c>
      <c r="E911" s="70">
        <v>2</v>
      </c>
      <c r="F911" s="81" t="s">
        <v>474</v>
      </c>
      <c r="G911" s="81" t="s">
        <v>472</v>
      </c>
      <c r="H911" s="81">
        <v>1967</v>
      </c>
      <c r="I911" s="81" t="s">
        <v>473</v>
      </c>
    </row>
    <row r="912" spans="1:9" x14ac:dyDescent="0.3">
      <c r="A912" s="23">
        <v>11</v>
      </c>
      <c r="B912" s="23">
        <v>12</v>
      </c>
      <c r="C912" s="81">
        <v>4099</v>
      </c>
      <c r="D912" s="81">
        <v>1</v>
      </c>
      <c r="E912" s="70">
        <v>2</v>
      </c>
      <c r="F912" s="81" t="s">
        <v>474</v>
      </c>
      <c r="G912" s="81" t="s">
        <v>472</v>
      </c>
      <c r="H912" s="81">
        <v>1967</v>
      </c>
      <c r="I912" s="81" t="s">
        <v>473</v>
      </c>
    </row>
    <row r="913" spans="1:9" x14ac:dyDescent="0.3">
      <c r="A913" s="23">
        <v>12</v>
      </c>
      <c r="B913" s="23">
        <v>6</v>
      </c>
      <c r="C913" s="81">
        <v>4099</v>
      </c>
      <c r="D913" s="81">
        <v>1</v>
      </c>
      <c r="E913" s="70">
        <v>2</v>
      </c>
      <c r="F913" s="81" t="s">
        <v>474</v>
      </c>
      <c r="G913" s="81" t="s">
        <v>472</v>
      </c>
      <c r="H913" s="81">
        <v>1967</v>
      </c>
      <c r="I913" s="81" t="s">
        <v>473</v>
      </c>
    </row>
    <row r="914" spans="1:9" x14ac:dyDescent="0.3">
      <c r="A914" s="23">
        <v>12</v>
      </c>
      <c r="B914" s="23">
        <v>7</v>
      </c>
      <c r="C914" s="81">
        <v>4099</v>
      </c>
      <c r="D914" s="81">
        <v>1</v>
      </c>
      <c r="E914" s="70">
        <v>2</v>
      </c>
      <c r="F914" s="81" t="s">
        <v>474</v>
      </c>
      <c r="G914" s="81" t="s">
        <v>472</v>
      </c>
      <c r="H914" s="81">
        <v>1967</v>
      </c>
      <c r="I914" s="81" t="s">
        <v>473</v>
      </c>
    </row>
    <row r="915" spans="1:9" x14ac:dyDescent="0.3">
      <c r="A915" s="23">
        <v>12</v>
      </c>
      <c r="B915" s="23">
        <v>8</v>
      </c>
      <c r="C915" s="81">
        <v>4099</v>
      </c>
      <c r="D915" s="81">
        <v>1</v>
      </c>
      <c r="E915" s="70">
        <v>2</v>
      </c>
      <c r="F915" s="81" t="s">
        <v>474</v>
      </c>
      <c r="G915" s="81" t="s">
        <v>472</v>
      </c>
      <c r="H915" s="81">
        <v>1967</v>
      </c>
      <c r="I915" s="81" t="s">
        <v>473</v>
      </c>
    </row>
    <row r="916" spans="1:9" x14ac:dyDescent="0.3">
      <c r="A916" s="23">
        <v>12</v>
      </c>
      <c r="B916" s="23">
        <v>8</v>
      </c>
      <c r="C916" s="81">
        <v>4099</v>
      </c>
      <c r="D916" s="81">
        <v>1</v>
      </c>
      <c r="E916" s="70">
        <v>2</v>
      </c>
      <c r="F916" s="81" t="s">
        <v>474</v>
      </c>
      <c r="G916" s="81" t="s">
        <v>472</v>
      </c>
      <c r="H916" s="81">
        <v>1967</v>
      </c>
      <c r="I916" s="81" t="s">
        <v>473</v>
      </c>
    </row>
    <row r="917" spans="1:9" x14ac:dyDescent="0.3">
      <c r="A917" s="23">
        <v>12</v>
      </c>
      <c r="B917" s="23">
        <v>8</v>
      </c>
      <c r="C917" s="81">
        <v>4099</v>
      </c>
      <c r="D917" s="81">
        <v>1</v>
      </c>
      <c r="E917" s="70">
        <v>2</v>
      </c>
      <c r="F917" s="81" t="s">
        <v>474</v>
      </c>
      <c r="G917" s="81" t="s">
        <v>472</v>
      </c>
      <c r="H917" s="81">
        <v>1967</v>
      </c>
      <c r="I917" s="81" t="s">
        <v>473</v>
      </c>
    </row>
    <row r="918" spans="1:9" x14ac:dyDescent="0.3">
      <c r="A918" s="23">
        <v>12</v>
      </c>
      <c r="B918" s="23">
        <v>9</v>
      </c>
      <c r="C918" s="81">
        <v>4099</v>
      </c>
      <c r="D918" s="81">
        <v>1</v>
      </c>
      <c r="E918" s="70">
        <v>2</v>
      </c>
      <c r="F918" s="81" t="s">
        <v>474</v>
      </c>
      <c r="G918" s="81" t="s">
        <v>472</v>
      </c>
      <c r="H918" s="81">
        <v>1967</v>
      </c>
      <c r="I918" s="81" t="s">
        <v>473</v>
      </c>
    </row>
    <row r="919" spans="1:9" x14ac:dyDescent="0.3">
      <c r="A919" s="23">
        <v>12</v>
      </c>
      <c r="B919" s="23">
        <v>9</v>
      </c>
      <c r="C919" s="81">
        <v>4099</v>
      </c>
      <c r="D919" s="81">
        <v>1</v>
      </c>
      <c r="E919" s="70">
        <v>2</v>
      </c>
      <c r="F919" s="81" t="s">
        <v>474</v>
      </c>
      <c r="G919" s="81" t="s">
        <v>472</v>
      </c>
      <c r="H919" s="81">
        <v>1967</v>
      </c>
      <c r="I919" s="81" t="s">
        <v>473</v>
      </c>
    </row>
    <row r="920" spans="1:9" x14ac:dyDescent="0.3">
      <c r="A920" s="23">
        <v>12</v>
      </c>
      <c r="B920" s="23">
        <v>9</v>
      </c>
      <c r="C920" s="81">
        <v>4099</v>
      </c>
      <c r="D920" s="81">
        <v>1</v>
      </c>
      <c r="E920" s="70">
        <v>2</v>
      </c>
      <c r="F920" s="81" t="s">
        <v>474</v>
      </c>
      <c r="G920" s="81" t="s">
        <v>472</v>
      </c>
      <c r="H920" s="81">
        <v>1967</v>
      </c>
      <c r="I920" s="81" t="s">
        <v>473</v>
      </c>
    </row>
    <row r="921" spans="1:9" x14ac:dyDescent="0.3">
      <c r="A921" s="23">
        <v>12</v>
      </c>
      <c r="B921" s="23">
        <v>10</v>
      </c>
      <c r="C921" s="81">
        <v>4099</v>
      </c>
      <c r="D921" s="81">
        <v>1</v>
      </c>
      <c r="E921" s="70">
        <v>2</v>
      </c>
      <c r="F921" s="81" t="s">
        <v>474</v>
      </c>
      <c r="G921" s="81" t="s">
        <v>472</v>
      </c>
      <c r="H921" s="81">
        <v>1967</v>
      </c>
      <c r="I921" s="81" t="s">
        <v>473</v>
      </c>
    </row>
    <row r="922" spans="1:9" x14ac:dyDescent="0.3">
      <c r="A922" s="23">
        <v>12</v>
      </c>
      <c r="B922" s="23">
        <v>10</v>
      </c>
      <c r="C922" s="81">
        <v>4099</v>
      </c>
      <c r="D922" s="81">
        <v>1</v>
      </c>
      <c r="E922" s="70">
        <v>2</v>
      </c>
      <c r="F922" s="81" t="s">
        <v>474</v>
      </c>
      <c r="G922" s="81" t="s">
        <v>472</v>
      </c>
      <c r="H922" s="81">
        <v>1967</v>
      </c>
      <c r="I922" s="81" t="s">
        <v>473</v>
      </c>
    </row>
    <row r="923" spans="1:9" x14ac:dyDescent="0.3">
      <c r="A923" s="23">
        <v>12</v>
      </c>
      <c r="B923" s="23">
        <v>11</v>
      </c>
      <c r="C923" s="81">
        <v>4099</v>
      </c>
      <c r="D923" s="81">
        <v>1</v>
      </c>
      <c r="E923" s="70">
        <v>2</v>
      </c>
      <c r="F923" s="81" t="s">
        <v>474</v>
      </c>
      <c r="G923" s="81" t="s">
        <v>472</v>
      </c>
      <c r="H923" s="81">
        <v>1967</v>
      </c>
      <c r="I923" s="81" t="s">
        <v>473</v>
      </c>
    </row>
    <row r="924" spans="1:9" x14ac:dyDescent="0.3">
      <c r="A924" s="23">
        <v>12</v>
      </c>
      <c r="B924" s="23">
        <v>11</v>
      </c>
      <c r="C924" s="81">
        <v>4099</v>
      </c>
      <c r="D924" s="81">
        <v>1</v>
      </c>
      <c r="E924" s="70">
        <v>2</v>
      </c>
      <c r="F924" s="81" t="s">
        <v>474</v>
      </c>
      <c r="G924" s="81" t="s">
        <v>472</v>
      </c>
      <c r="H924" s="81">
        <v>1967</v>
      </c>
      <c r="I924" s="81" t="s">
        <v>473</v>
      </c>
    </row>
    <row r="925" spans="1:9" x14ac:dyDescent="0.3">
      <c r="A925" s="23">
        <v>12</v>
      </c>
      <c r="B925" s="23">
        <v>11</v>
      </c>
      <c r="C925" s="81">
        <v>4099</v>
      </c>
      <c r="D925" s="81">
        <v>1</v>
      </c>
      <c r="E925" s="70">
        <v>2</v>
      </c>
      <c r="F925" s="81" t="s">
        <v>474</v>
      </c>
      <c r="G925" s="81" t="s">
        <v>472</v>
      </c>
      <c r="H925" s="81">
        <v>1967</v>
      </c>
      <c r="I925" s="81" t="s">
        <v>473</v>
      </c>
    </row>
    <row r="926" spans="1:9" x14ac:dyDescent="0.3">
      <c r="A926" s="23">
        <v>12</v>
      </c>
      <c r="B926" s="23">
        <v>12</v>
      </c>
      <c r="C926" s="81">
        <v>4099</v>
      </c>
      <c r="D926" s="81">
        <v>1</v>
      </c>
      <c r="E926" s="70">
        <v>2</v>
      </c>
      <c r="F926" s="81" t="s">
        <v>474</v>
      </c>
      <c r="G926" s="81" t="s">
        <v>472</v>
      </c>
      <c r="H926" s="81">
        <v>1967</v>
      </c>
      <c r="I926" s="81" t="s">
        <v>473</v>
      </c>
    </row>
    <row r="927" spans="1:9" x14ac:dyDescent="0.3">
      <c r="A927" s="23">
        <v>12</v>
      </c>
      <c r="B927" s="23">
        <v>12</v>
      </c>
      <c r="C927" s="81">
        <v>4099</v>
      </c>
      <c r="D927" s="81">
        <v>1</v>
      </c>
      <c r="E927" s="70">
        <v>2</v>
      </c>
      <c r="F927" s="81" t="s">
        <v>474</v>
      </c>
      <c r="G927" s="81" t="s">
        <v>472</v>
      </c>
      <c r="H927" s="81">
        <v>1967</v>
      </c>
      <c r="I927" s="81" t="s">
        <v>473</v>
      </c>
    </row>
    <row r="928" spans="1:9" x14ac:dyDescent="0.3">
      <c r="A928" s="23">
        <v>12</v>
      </c>
      <c r="B928" s="23">
        <v>12</v>
      </c>
      <c r="C928" s="81">
        <v>4099</v>
      </c>
      <c r="D928" s="81">
        <v>1</v>
      </c>
      <c r="E928" s="70">
        <v>2</v>
      </c>
      <c r="F928" s="81" t="s">
        <v>474</v>
      </c>
      <c r="G928" s="81" t="s">
        <v>472</v>
      </c>
      <c r="H928" s="81">
        <v>1967</v>
      </c>
      <c r="I928" s="81" t="s">
        <v>473</v>
      </c>
    </row>
    <row r="929" spans="1:9" x14ac:dyDescent="0.3">
      <c r="A929" s="23">
        <v>0</v>
      </c>
      <c r="B929" s="23">
        <v>5</v>
      </c>
      <c r="C929" s="81">
        <v>4099</v>
      </c>
      <c r="D929" s="81">
        <v>1</v>
      </c>
      <c r="E929" s="70">
        <v>3</v>
      </c>
      <c r="F929" s="81" t="s">
        <v>474</v>
      </c>
      <c r="G929" s="81" t="s">
        <v>472</v>
      </c>
      <c r="H929" s="81">
        <v>1967</v>
      </c>
      <c r="I929" s="81" t="s">
        <v>473</v>
      </c>
    </row>
    <row r="930" spans="1:9" x14ac:dyDescent="0.3">
      <c r="A930" s="23">
        <v>4</v>
      </c>
      <c r="B930" s="23">
        <v>0</v>
      </c>
      <c r="C930" s="81">
        <v>4099</v>
      </c>
      <c r="D930" s="81">
        <v>1</v>
      </c>
      <c r="E930" s="70">
        <v>3</v>
      </c>
      <c r="F930" s="81" t="s">
        <v>474</v>
      </c>
      <c r="G930" s="81" t="s">
        <v>472</v>
      </c>
      <c r="H930" s="81">
        <v>1967</v>
      </c>
      <c r="I930" s="81" t="s">
        <v>473</v>
      </c>
    </row>
    <row r="931" spans="1:9" x14ac:dyDescent="0.3">
      <c r="A931" s="23">
        <v>4</v>
      </c>
      <c r="B931" s="23">
        <v>0</v>
      </c>
      <c r="C931" s="81">
        <v>4099</v>
      </c>
      <c r="D931" s="81">
        <v>1</v>
      </c>
      <c r="E931" s="70">
        <v>3</v>
      </c>
      <c r="F931" s="81" t="s">
        <v>474</v>
      </c>
      <c r="G931" s="81" t="s">
        <v>472</v>
      </c>
      <c r="H931" s="81">
        <v>1967</v>
      </c>
      <c r="I931" s="81" t="s">
        <v>473</v>
      </c>
    </row>
    <row r="932" spans="1:9" x14ac:dyDescent="0.3">
      <c r="A932" s="23">
        <v>4</v>
      </c>
      <c r="B932" s="23">
        <v>0</v>
      </c>
      <c r="C932" s="81">
        <v>4099</v>
      </c>
      <c r="D932" s="81">
        <v>1</v>
      </c>
      <c r="E932" s="70">
        <v>3</v>
      </c>
      <c r="F932" s="81" t="s">
        <v>474</v>
      </c>
      <c r="G932" s="81" t="s">
        <v>472</v>
      </c>
      <c r="H932" s="81">
        <v>1967</v>
      </c>
      <c r="I932" s="81" t="s">
        <v>473</v>
      </c>
    </row>
    <row r="933" spans="1:9" x14ac:dyDescent="0.3">
      <c r="A933" s="23">
        <v>4</v>
      </c>
      <c r="B933" s="23">
        <v>3</v>
      </c>
      <c r="C933" s="81">
        <v>4099</v>
      </c>
      <c r="D933" s="81">
        <v>1</v>
      </c>
      <c r="E933" s="70">
        <v>3</v>
      </c>
      <c r="F933" s="81" t="s">
        <v>474</v>
      </c>
      <c r="G933" s="81" t="s">
        <v>472</v>
      </c>
      <c r="H933" s="81">
        <v>1967</v>
      </c>
      <c r="I933" s="81" t="s">
        <v>473</v>
      </c>
    </row>
    <row r="934" spans="1:9" x14ac:dyDescent="0.3">
      <c r="A934" s="23">
        <v>4</v>
      </c>
      <c r="B934" s="23">
        <v>3</v>
      </c>
      <c r="C934" s="81">
        <v>4099</v>
      </c>
      <c r="D934" s="81">
        <v>1</v>
      </c>
      <c r="E934" s="70">
        <v>3</v>
      </c>
      <c r="F934" s="81" t="s">
        <v>474</v>
      </c>
      <c r="G934" s="81" t="s">
        <v>472</v>
      </c>
      <c r="H934" s="81">
        <v>1967</v>
      </c>
      <c r="I934" s="81" t="s">
        <v>473</v>
      </c>
    </row>
    <row r="935" spans="1:9" x14ac:dyDescent="0.3">
      <c r="A935" s="23">
        <v>5</v>
      </c>
      <c r="B935" s="23">
        <v>0</v>
      </c>
      <c r="C935" s="81">
        <v>4099</v>
      </c>
      <c r="D935" s="81">
        <v>1</v>
      </c>
      <c r="E935" s="70">
        <v>3</v>
      </c>
      <c r="F935" s="81" t="s">
        <v>474</v>
      </c>
      <c r="G935" s="81" t="s">
        <v>472</v>
      </c>
      <c r="H935" s="81">
        <v>1967</v>
      </c>
      <c r="I935" s="81" t="s">
        <v>473</v>
      </c>
    </row>
    <row r="936" spans="1:9" x14ac:dyDescent="0.3">
      <c r="A936" s="23">
        <v>5</v>
      </c>
      <c r="B936" s="23">
        <v>3</v>
      </c>
      <c r="C936" s="81">
        <v>4099</v>
      </c>
      <c r="D936" s="81">
        <v>1</v>
      </c>
      <c r="E936" s="70">
        <v>3</v>
      </c>
      <c r="F936" s="81" t="s">
        <v>474</v>
      </c>
      <c r="G936" s="81" t="s">
        <v>472</v>
      </c>
      <c r="H936" s="81">
        <v>1967</v>
      </c>
      <c r="I936" s="81" t="s">
        <v>473</v>
      </c>
    </row>
    <row r="937" spans="1:9" x14ac:dyDescent="0.3">
      <c r="A937" s="23">
        <v>5</v>
      </c>
      <c r="B937" s="23">
        <v>3</v>
      </c>
      <c r="C937" s="81">
        <v>4099</v>
      </c>
      <c r="D937" s="81">
        <v>1</v>
      </c>
      <c r="E937" s="70">
        <v>3</v>
      </c>
      <c r="F937" s="81" t="s">
        <v>474</v>
      </c>
      <c r="G937" s="81" t="s">
        <v>472</v>
      </c>
      <c r="H937" s="81">
        <v>1967</v>
      </c>
      <c r="I937" s="81" t="s">
        <v>473</v>
      </c>
    </row>
    <row r="938" spans="1:9" x14ac:dyDescent="0.3">
      <c r="A938" s="23">
        <v>5</v>
      </c>
      <c r="B938" s="23">
        <v>3</v>
      </c>
      <c r="C938" s="81">
        <v>4099</v>
      </c>
      <c r="D938" s="81">
        <v>1</v>
      </c>
      <c r="E938" s="70">
        <v>3</v>
      </c>
      <c r="F938" s="81" t="s">
        <v>474</v>
      </c>
      <c r="G938" s="81" t="s">
        <v>472</v>
      </c>
      <c r="H938" s="81">
        <v>1967</v>
      </c>
      <c r="I938" s="81" t="s">
        <v>473</v>
      </c>
    </row>
    <row r="939" spans="1:9" x14ac:dyDescent="0.3">
      <c r="A939" s="23">
        <v>5</v>
      </c>
      <c r="B939" s="23">
        <v>3</v>
      </c>
      <c r="C939" s="81">
        <v>4099</v>
      </c>
      <c r="D939" s="81">
        <v>1</v>
      </c>
      <c r="E939" s="70">
        <v>3</v>
      </c>
      <c r="F939" s="81" t="s">
        <v>474</v>
      </c>
      <c r="G939" s="81" t="s">
        <v>472</v>
      </c>
      <c r="H939" s="81">
        <v>1967</v>
      </c>
      <c r="I939" s="81" t="s">
        <v>473</v>
      </c>
    </row>
    <row r="940" spans="1:9" x14ac:dyDescent="0.3">
      <c r="A940" s="23">
        <v>5</v>
      </c>
      <c r="B940" s="23">
        <v>3</v>
      </c>
      <c r="C940" s="81">
        <v>4099</v>
      </c>
      <c r="D940" s="81">
        <v>1</v>
      </c>
      <c r="E940" s="70">
        <v>3</v>
      </c>
      <c r="F940" s="81" t="s">
        <v>474</v>
      </c>
      <c r="G940" s="81" t="s">
        <v>472</v>
      </c>
      <c r="H940" s="81">
        <v>1967</v>
      </c>
      <c r="I940" s="81" t="s">
        <v>473</v>
      </c>
    </row>
    <row r="941" spans="1:9" x14ac:dyDescent="0.3">
      <c r="A941" s="23">
        <v>5</v>
      </c>
      <c r="B941" s="23">
        <v>4</v>
      </c>
      <c r="C941" s="81">
        <v>4099</v>
      </c>
      <c r="D941" s="81">
        <v>1</v>
      </c>
      <c r="E941" s="70">
        <v>3</v>
      </c>
      <c r="F941" s="81" t="s">
        <v>474</v>
      </c>
      <c r="G941" s="81" t="s">
        <v>472</v>
      </c>
      <c r="H941" s="81">
        <v>1967</v>
      </c>
      <c r="I941" s="81" t="s">
        <v>473</v>
      </c>
    </row>
    <row r="942" spans="1:9" x14ac:dyDescent="0.3">
      <c r="A942" s="23">
        <v>5</v>
      </c>
      <c r="B942" s="23">
        <v>4</v>
      </c>
      <c r="C942" s="81">
        <v>4099</v>
      </c>
      <c r="D942" s="81">
        <v>1</v>
      </c>
      <c r="E942" s="70">
        <v>3</v>
      </c>
      <c r="F942" s="81" t="s">
        <v>474</v>
      </c>
      <c r="G942" s="81" t="s">
        <v>472</v>
      </c>
      <c r="H942" s="81">
        <v>1967</v>
      </c>
      <c r="I942" s="81" t="s">
        <v>473</v>
      </c>
    </row>
    <row r="943" spans="1:9" x14ac:dyDescent="0.3">
      <c r="A943" s="23">
        <v>5</v>
      </c>
      <c r="B943" s="23">
        <v>4</v>
      </c>
      <c r="C943" s="81">
        <v>4099</v>
      </c>
      <c r="D943" s="81">
        <v>1</v>
      </c>
      <c r="E943" s="70">
        <v>3</v>
      </c>
      <c r="F943" s="81" t="s">
        <v>474</v>
      </c>
      <c r="G943" s="81" t="s">
        <v>472</v>
      </c>
      <c r="H943" s="81">
        <v>1967</v>
      </c>
      <c r="I943" s="81" t="s">
        <v>473</v>
      </c>
    </row>
    <row r="944" spans="1:9" x14ac:dyDescent="0.3">
      <c r="A944" s="23">
        <v>5</v>
      </c>
      <c r="B944" s="23">
        <v>5</v>
      </c>
      <c r="C944" s="81">
        <v>4099</v>
      </c>
      <c r="D944" s="81">
        <v>1</v>
      </c>
      <c r="E944" s="70">
        <v>3</v>
      </c>
      <c r="F944" s="81" t="s">
        <v>474</v>
      </c>
      <c r="G944" s="81" t="s">
        <v>472</v>
      </c>
      <c r="H944" s="81">
        <v>1967</v>
      </c>
      <c r="I944" s="81" t="s">
        <v>473</v>
      </c>
    </row>
    <row r="945" spans="1:9" x14ac:dyDescent="0.3">
      <c r="A945" s="23">
        <v>6</v>
      </c>
      <c r="B945" s="23">
        <v>0</v>
      </c>
      <c r="C945" s="81">
        <v>4099</v>
      </c>
      <c r="D945" s="81">
        <v>1</v>
      </c>
      <c r="E945" s="70">
        <v>3</v>
      </c>
      <c r="F945" s="81" t="s">
        <v>474</v>
      </c>
      <c r="G945" s="81" t="s">
        <v>472</v>
      </c>
      <c r="H945" s="81">
        <v>1967</v>
      </c>
      <c r="I945" s="81" t="s">
        <v>473</v>
      </c>
    </row>
    <row r="946" spans="1:9" x14ac:dyDescent="0.3">
      <c r="A946" s="23">
        <v>6</v>
      </c>
      <c r="B946" s="23">
        <v>3</v>
      </c>
      <c r="C946" s="81">
        <v>4099</v>
      </c>
      <c r="D946" s="81">
        <v>1</v>
      </c>
      <c r="E946" s="70">
        <v>3</v>
      </c>
      <c r="F946" s="81" t="s">
        <v>474</v>
      </c>
      <c r="G946" s="81" t="s">
        <v>472</v>
      </c>
      <c r="H946" s="81">
        <v>1967</v>
      </c>
      <c r="I946" s="81" t="s">
        <v>473</v>
      </c>
    </row>
    <row r="947" spans="1:9" x14ac:dyDescent="0.3">
      <c r="A947" s="23">
        <v>6</v>
      </c>
      <c r="B947" s="23">
        <v>3</v>
      </c>
      <c r="C947" s="81">
        <v>4099</v>
      </c>
      <c r="D947" s="81">
        <v>1</v>
      </c>
      <c r="E947" s="70">
        <v>3</v>
      </c>
      <c r="F947" s="81" t="s">
        <v>474</v>
      </c>
      <c r="G947" s="81" t="s">
        <v>472</v>
      </c>
      <c r="H947" s="81">
        <v>1967</v>
      </c>
      <c r="I947" s="81" t="s">
        <v>473</v>
      </c>
    </row>
    <row r="948" spans="1:9" x14ac:dyDescent="0.3">
      <c r="A948" s="23">
        <v>6</v>
      </c>
      <c r="B948" s="23">
        <v>3</v>
      </c>
      <c r="C948" s="81">
        <v>4099</v>
      </c>
      <c r="D948" s="81">
        <v>1</v>
      </c>
      <c r="E948" s="70">
        <v>3</v>
      </c>
      <c r="F948" s="81" t="s">
        <v>474</v>
      </c>
      <c r="G948" s="81" t="s">
        <v>472</v>
      </c>
      <c r="H948" s="81">
        <v>1967</v>
      </c>
      <c r="I948" s="81" t="s">
        <v>473</v>
      </c>
    </row>
    <row r="949" spans="1:9" x14ac:dyDescent="0.3">
      <c r="A949" s="23">
        <v>6</v>
      </c>
      <c r="B949" s="23">
        <v>3</v>
      </c>
      <c r="C949" s="81">
        <v>4099</v>
      </c>
      <c r="D949" s="81">
        <v>1</v>
      </c>
      <c r="E949" s="70">
        <v>3</v>
      </c>
      <c r="F949" s="81" t="s">
        <v>474</v>
      </c>
      <c r="G949" s="81" t="s">
        <v>472</v>
      </c>
      <c r="H949" s="81">
        <v>1967</v>
      </c>
      <c r="I949" s="81" t="s">
        <v>473</v>
      </c>
    </row>
    <row r="950" spans="1:9" x14ac:dyDescent="0.3">
      <c r="A950" s="23">
        <v>6</v>
      </c>
      <c r="B950" s="23">
        <v>3</v>
      </c>
      <c r="C950" s="81">
        <v>4099</v>
      </c>
      <c r="D950" s="81">
        <v>1</v>
      </c>
      <c r="E950" s="70">
        <v>3</v>
      </c>
      <c r="F950" s="81" t="s">
        <v>474</v>
      </c>
      <c r="G950" s="81" t="s">
        <v>472</v>
      </c>
      <c r="H950" s="81">
        <v>1967</v>
      </c>
      <c r="I950" s="81" t="s">
        <v>473</v>
      </c>
    </row>
    <row r="951" spans="1:9" x14ac:dyDescent="0.3">
      <c r="A951" s="23">
        <v>6</v>
      </c>
      <c r="B951" s="23">
        <v>3</v>
      </c>
      <c r="C951" s="81">
        <v>4099</v>
      </c>
      <c r="D951" s="81">
        <v>1</v>
      </c>
      <c r="E951" s="70">
        <v>3</v>
      </c>
      <c r="F951" s="81" t="s">
        <v>474</v>
      </c>
      <c r="G951" s="81" t="s">
        <v>472</v>
      </c>
      <c r="H951" s="81">
        <v>1967</v>
      </c>
      <c r="I951" s="81" t="s">
        <v>473</v>
      </c>
    </row>
    <row r="952" spans="1:9" x14ac:dyDescent="0.3">
      <c r="A952" s="23">
        <v>6</v>
      </c>
      <c r="B952" s="23">
        <v>3</v>
      </c>
      <c r="C952" s="81">
        <v>4099</v>
      </c>
      <c r="D952" s="81">
        <v>1</v>
      </c>
      <c r="E952" s="70">
        <v>3</v>
      </c>
      <c r="F952" s="81" t="s">
        <v>474</v>
      </c>
      <c r="G952" s="81" t="s">
        <v>472</v>
      </c>
      <c r="H952" s="81">
        <v>1967</v>
      </c>
      <c r="I952" s="81" t="s">
        <v>473</v>
      </c>
    </row>
    <row r="953" spans="1:9" x14ac:dyDescent="0.3">
      <c r="A953" s="23">
        <v>6</v>
      </c>
      <c r="B953" s="23">
        <v>4</v>
      </c>
      <c r="C953" s="81">
        <v>4099</v>
      </c>
      <c r="D953" s="81">
        <v>1</v>
      </c>
      <c r="E953" s="70">
        <v>3</v>
      </c>
      <c r="F953" s="81" t="s">
        <v>474</v>
      </c>
      <c r="G953" s="81" t="s">
        <v>472</v>
      </c>
      <c r="H953" s="81">
        <v>1967</v>
      </c>
      <c r="I953" s="81" t="s">
        <v>473</v>
      </c>
    </row>
    <row r="954" spans="1:9" x14ac:dyDescent="0.3">
      <c r="A954" s="23">
        <v>6</v>
      </c>
      <c r="B954" s="23">
        <v>4</v>
      </c>
      <c r="C954" s="81">
        <v>4099</v>
      </c>
      <c r="D954" s="81">
        <v>1</v>
      </c>
      <c r="E954" s="70">
        <v>3</v>
      </c>
      <c r="F954" s="81" t="s">
        <v>474</v>
      </c>
      <c r="G954" s="81" t="s">
        <v>472</v>
      </c>
      <c r="H954" s="81">
        <v>1967</v>
      </c>
      <c r="I954" s="81" t="s">
        <v>473</v>
      </c>
    </row>
    <row r="955" spans="1:9" x14ac:dyDescent="0.3">
      <c r="A955" s="23">
        <v>6</v>
      </c>
      <c r="B955" s="23">
        <v>4</v>
      </c>
      <c r="C955" s="81">
        <v>4099</v>
      </c>
      <c r="D955" s="81">
        <v>1</v>
      </c>
      <c r="E955" s="70">
        <v>3</v>
      </c>
      <c r="F955" s="81" t="s">
        <v>474</v>
      </c>
      <c r="G955" s="81" t="s">
        <v>472</v>
      </c>
      <c r="H955" s="81">
        <v>1967</v>
      </c>
      <c r="I955" s="81" t="s">
        <v>473</v>
      </c>
    </row>
    <row r="956" spans="1:9" x14ac:dyDescent="0.3">
      <c r="A956" s="23">
        <v>6</v>
      </c>
      <c r="B956" s="23">
        <v>4</v>
      </c>
      <c r="C956" s="81">
        <v>4099</v>
      </c>
      <c r="D956" s="81">
        <v>1</v>
      </c>
      <c r="E956" s="70">
        <v>3</v>
      </c>
      <c r="F956" s="81" t="s">
        <v>474</v>
      </c>
      <c r="G956" s="81" t="s">
        <v>472</v>
      </c>
      <c r="H956" s="81">
        <v>1967</v>
      </c>
      <c r="I956" s="81" t="s">
        <v>473</v>
      </c>
    </row>
    <row r="957" spans="1:9" x14ac:dyDescent="0.3">
      <c r="A957" s="23">
        <v>6</v>
      </c>
      <c r="B957" s="23">
        <v>4</v>
      </c>
      <c r="C957" s="81">
        <v>4099</v>
      </c>
      <c r="D957" s="81">
        <v>1</v>
      </c>
      <c r="E957" s="70">
        <v>3</v>
      </c>
      <c r="F957" s="81" t="s">
        <v>474</v>
      </c>
      <c r="G957" s="81" t="s">
        <v>472</v>
      </c>
      <c r="H957" s="81">
        <v>1967</v>
      </c>
      <c r="I957" s="81" t="s">
        <v>473</v>
      </c>
    </row>
    <row r="958" spans="1:9" x14ac:dyDescent="0.3">
      <c r="A958" s="23">
        <v>6</v>
      </c>
      <c r="B958" s="23">
        <v>4</v>
      </c>
      <c r="C958" s="81">
        <v>4099</v>
      </c>
      <c r="D958" s="81">
        <v>1</v>
      </c>
      <c r="E958" s="70">
        <v>3</v>
      </c>
      <c r="F958" s="81" t="s">
        <v>474</v>
      </c>
      <c r="G958" s="81" t="s">
        <v>472</v>
      </c>
      <c r="H958" s="81">
        <v>1967</v>
      </c>
      <c r="I958" s="81" t="s">
        <v>473</v>
      </c>
    </row>
    <row r="959" spans="1:9" x14ac:dyDescent="0.3">
      <c r="A959" s="23">
        <v>6</v>
      </c>
      <c r="B959" s="23">
        <v>4</v>
      </c>
      <c r="C959" s="81">
        <v>4099</v>
      </c>
      <c r="D959" s="81">
        <v>1</v>
      </c>
      <c r="E959" s="70">
        <v>3</v>
      </c>
      <c r="F959" s="81" t="s">
        <v>474</v>
      </c>
      <c r="G959" s="81" t="s">
        <v>472</v>
      </c>
      <c r="H959" s="81">
        <v>1967</v>
      </c>
      <c r="I959" s="81" t="s">
        <v>473</v>
      </c>
    </row>
    <row r="960" spans="1:9" x14ac:dyDescent="0.3">
      <c r="A960" s="23">
        <v>6</v>
      </c>
      <c r="B960" s="23">
        <v>4</v>
      </c>
      <c r="C960" s="81">
        <v>4099</v>
      </c>
      <c r="D960" s="81">
        <v>1</v>
      </c>
      <c r="E960" s="70">
        <v>3</v>
      </c>
      <c r="F960" s="81" t="s">
        <v>474</v>
      </c>
      <c r="G960" s="81" t="s">
        <v>472</v>
      </c>
      <c r="H960" s="81">
        <v>1967</v>
      </c>
      <c r="I960" s="81" t="s">
        <v>473</v>
      </c>
    </row>
    <row r="961" spans="1:9" x14ac:dyDescent="0.3">
      <c r="A961" s="23">
        <v>6</v>
      </c>
      <c r="B961" s="23">
        <v>4</v>
      </c>
      <c r="C961" s="81">
        <v>4099</v>
      </c>
      <c r="D961" s="81">
        <v>1</v>
      </c>
      <c r="E961" s="70">
        <v>3</v>
      </c>
      <c r="F961" s="81" t="s">
        <v>474</v>
      </c>
      <c r="G961" s="81" t="s">
        <v>472</v>
      </c>
      <c r="H961" s="81">
        <v>1967</v>
      </c>
      <c r="I961" s="81" t="s">
        <v>473</v>
      </c>
    </row>
    <row r="962" spans="1:9" x14ac:dyDescent="0.3">
      <c r="A962" s="23">
        <v>6</v>
      </c>
      <c r="B962" s="23">
        <v>4</v>
      </c>
      <c r="C962" s="81">
        <v>4099</v>
      </c>
      <c r="D962" s="81">
        <v>1</v>
      </c>
      <c r="E962" s="70">
        <v>3</v>
      </c>
      <c r="F962" s="81" t="s">
        <v>474</v>
      </c>
      <c r="G962" s="81" t="s">
        <v>472</v>
      </c>
      <c r="H962" s="81">
        <v>1967</v>
      </c>
      <c r="I962" s="81" t="s">
        <v>473</v>
      </c>
    </row>
    <row r="963" spans="1:9" x14ac:dyDescent="0.3">
      <c r="A963" s="23">
        <v>6</v>
      </c>
      <c r="B963" s="23">
        <v>4</v>
      </c>
      <c r="C963" s="81">
        <v>4099</v>
      </c>
      <c r="D963" s="81">
        <v>1</v>
      </c>
      <c r="E963" s="70">
        <v>3</v>
      </c>
      <c r="F963" s="81" t="s">
        <v>474</v>
      </c>
      <c r="G963" s="81" t="s">
        <v>472</v>
      </c>
      <c r="H963" s="81">
        <v>1967</v>
      </c>
      <c r="I963" s="81" t="s">
        <v>473</v>
      </c>
    </row>
    <row r="964" spans="1:9" x14ac:dyDescent="0.3">
      <c r="A964" s="23">
        <v>6</v>
      </c>
      <c r="B964" s="23">
        <v>5</v>
      </c>
      <c r="C964" s="81">
        <v>4099</v>
      </c>
      <c r="D964" s="81">
        <v>1</v>
      </c>
      <c r="E964" s="70">
        <v>3</v>
      </c>
      <c r="F964" s="81" t="s">
        <v>474</v>
      </c>
      <c r="G964" s="81" t="s">
        <v>472</v>
      </c>
      <c r="H964" s="81">
        <v>1967</v>
      </c>
      <c r="I964" s="81" t="s">
        <v>473</v>
      </c>
    </row>
    <row r="965" spans="1:9" x14ac:dyDescent="0.3">
      <c r="A965" s="23">
        <v>6</v>
      </c>
      <c r="B965" s="23">
        <v>5</v>
      </c>
      <c r="C965" s="81">
        <v>4099</v>
      </c>
      <c r="D965" s="81">
        <v>1</v>
      </c>
      <c r="E965" s="70">
        <v>3</v>
      </c>
      <c r="F965" s="81" t="s">
        <v>474</v>
      </c>
      <c r="G965" s="81" t="s">
        <v>472</v>
      </c>
      <c r="H965" s="81">
        <v>1967</v>
      </c>
      <c r="I965" s="81" t="s">
        <v>473</v>
      </c>
    </row>
    <row r="966" spans="1:9" x14ac:dyDescent="0.3">
      <c r="A966" s="23">
        <v>6</v>
      </c>
      <c r="B966" s="23">
        <v>5</v>
      </c>
      <c r="C966" s="81">
        <v>4099</v>
      </c>
      <c r="D966" s="81">
        <v>1</v>
      </c>
      <c r="E966" s="70">
        <v>3</v>
      </c>
      <c r="F966" s="81" t="s">
        <v>474</v>
      </c>
      <c r="G966" s="81" t="s">
        <v>472</v>
      </c>
      <c r="H966" s="81">
        <v>1967</v>
      </c>
      <c r="I966" s="81" t="s">
        <v>473</v>
      </c>
    </row>
    <row r="967" spans="1:9" x14ac:dyDescent="0.3">
      <c r="A967" s="23">
        <v>6</v>
      </c>
      <c r="B967" s="23">
        <v>6</v>
      </c>
      <c r="C967" s="81">
        <v>4099</v>
      </c>
      <c r="D967" s="81">
        <v>1</v>
      </c>
      <c r="E967" s="70">
        <v>3</v>
      </c>
      <c r="F967" s="81" t="s">
        <v>474</v>
      </c>
      <c r="G967" s="81" t="s">
        <v>472</v>
      </c>
      <c r="H967" s="81">
        <v>1967</v>
      </c>
      <c r="I967" s="81" t="s">
        <v>473</v>
      </c>
    </row>
    <row r="968" spans="1:9" x14ac:dyDescent="0.3">
      <c r="A968" s="23">
        <v>6</v>
      </c>
      <c r="B968" s="23">
        <v>6</v>
      </c>
      <c r="C968" s="81">
        <v>4099</v>
      </c>
      <c r="D968" s="81">
        <v>1</v>
      </c>
      <c r="E968" s="70">
        <v>3</v>
      </c>
      <c r="F968" s="81" t="s">
        <v>474</v>
      </c>
      <c r="G968" s="81" t="s">
        <v>472</v>
      </c>
      <c r="H968" s="81">
        <v>1967</v>
      </c>
      <c r="I968" s="81" t="s">
        <v>473</v>
      </c>
    </row>
    <row r="969" spans="1:9" x14ac:dyDescent="0.3">
      <c r="A969" s="23">
        <v>6</v>
      </c>
      <c r="B969" s="23">
        <v>8</v>
      </c>
      <c r="C969" s="81">
        <v>4099</v>
      </c>
      <c r="D969" s="81">
        <v>1</v>
      </c>
      <c r="E969" s="70">
        <v>3</v>
      </c>
      <c r="F969" s="81" t="s">
        <v>474</v>
      </c>
      <c r="G969" s="81" t="s">
        <v>472</v>
      </c>
      <c r="H969" s="81">
        <v>1967</v>
      </c>
      <c r="I969" s="81" t="s">
        <v>473</v>
      </c>
    </row>
    <row r="970" spans="1:9" x14ac:dyDescent="0.3">
      <c r="A970" s="23">
        <v>7</v>
      </c>
      <c r="B970" s="23">
        <v>0</v>
      </c>
      <c r="C970" s="81">
        <v>4099</v>
      </c>
      <c r="D970" s="81">
        <v>1</v>
      </c>
      <c r="E970" s="70">
        <v>3</v>
      </c>
      <c r="F970" s="81" t="s">
        <v>474</v>
      </c>
      <c r="G970" s="81" t="s">
        <v>472</v>
      </c>
      <c r="H970" s="81">
        <v>1967</v>
      </c>
      <c r="I970" s="81" t="s">
        <v>473</v>
      </c>
    </row>
    <row r="971" spans="1:9" x14ac:dyDescent="0.3">
      <c r="A971" s="23">
        <v>7</v>
      </c>
      <c r="B971" s="23">
        <v>3</v>
      </c>
      <c r="C971" s="81">
        <v>4099</v>
      </c>
      <c r="D971" s="81">
        <v>1</v>
      </c>
      <c r="E971" s="70">
        <v>3</v>
      </c>
      <c r="F971" s="81" t="s">
        <v>474</v>
      </c>
      <c r="G971" s="81" t="s">
        <v>472</v>
      </c>
      <c r="H971" s="81">
        <v>1967</v>
      </c>
      <c r="I971" s="81" t="s">
        <v>473</v>
      </c>
    </row>
    <row r="972" spans="1:9" x14ac:dyDescent="0.3">
      <c r="A972" s="23">
        <v>7</v>
      </c>
      <c r="B972" s="23">
        <v>3</v>
      </c>
      <c r="C972" s="81">
        <v>4099</v>
      </c>
      <c r="D972" s="81">
        <v>1</v>
      </c>
      <c r="E972" s="70">
        <v>3</v>
      </c>
      <c r="F972" s="81" t="s">
        <v>474</v>
      </c>
      <c r="G972" s="81" t="s">
        <v>472</v>
      </c>
      <c r="H972" s="81">
        <v>1967</v>
      </c>
      <c r="I972" s="81" t="s">
        <v>473</v>
      </c>
    </row>
    <row r="973" spans="1:9" x14ac:dyDescent="0.3">
      <c r="A973" s="23">
        <v>7</v>
      </c>
      <c r="B973" s="23">
        <v>3</v>
      </c>
      <c r="C973" s="81">
        <v>4099</v>
      </c>
      <c r="D973" s="81">
        <v>1</v>
      </c>
      <c r="E973" s="70">
        <v>3</v>
      </c>
      <c r="F973" s="81" t="s">
        <v>474</v>
      </c>
      <c r="G973" s="81" t="s">
        <v>472</v>
      </c>
      <c r="H973" s="81">
        <v>1967</v>
      </c>
      <c r="I973" s="81" t="s">
        <v>473</v>
      </c>
    </row>
    <row r="974" spans="1:9" x14ac:dyDescent="0.3">
      <c r="A974" s="23">
        <v>7</v>
      </c>
      <c r="B974" s="23">
        <v>4</v>
      </c>
      <c r="C974" s="81">
        <v>4099</v>
      </c>
      <c r="D974" s="81">
        <v>1</v>
      </c>
      <c r="E974" s="70">
        <v>3</v>
      </c>
      <c r="F974" s="81" t="s">
        <v>474</v>
      </c>
      <c r="G974" s="81" t="s">
        <v>472</v>
      </c>
      <c r="H974" s="81">
        <v>1967</v>
      </c>
      <c r="I974" s="81" t="s">
        <v>473</v>
      </c>
    </row>
    <row r="975" spans="1:9" x14ac:dyDescent="0.3">
      <c r="A975" s="23">
        <v>7</v>
      </c>
      <c r="B975" s="23">
        <v>4</v>
      </c>
      <c r="C975" s="81">
        <v>4099</v>
      </c>
      <c r="D975" s="81">
        <v>1</v>
      </c>
      <c r="E975" s="70">
        <v>3</v>
      </c>
      <c r="F975" s="81" t="s">
        <v>474</v>
      </c>
      <c r="G975" s="81" t="s">
        <v>472</v>
      </c>
      <c r="H975" s="81">
        <v>1967</v>
      </c>
      <c r="I975" s="81" t="s">
        <v>473</v>
      </c>
    </row>
    <row r="976" spans="1:9" x14ac:dyDescent="0.3">
      <c r="A976" s="23">
        <v>7</v>
      </c>
      <c r="B976" s="23">
        <v>4</v>
      </c>
      <c r="C976" s="81">
        <v>4099</v>
      </c>
      <c r="D976" s="81">
        <v>1</v>
      </c>
      <c r="E976" s="70">
        <v>3</v>
      </c>
      <c r="F976" s="81" t="s">
        <v>474</v>
      </c>
      <c r="G976" s="81" t="s">
        <v>472</v>
      </c>
      <c r="H976" s="81">
        <v>1967</v>
      </c>
      <c r="I976" s="81" t="s">
        <v>473</v>
      </c>
    </row>
    <row r="977" spans="1:9" x14ac:dyDescent="0.3">
      <c r="A977" s="23">
        <v>7</v>
      </c>
      <c r="B977" s="23">
        <v>4</v>
      </c>
      <c r="C977" s="81">
        <v>4099</v>
      </c>
      <c r="D977" s="81">
        <v>1</v>
      </c>
      <c r="E977" s="70">
        <v>3</v>
      </c>
      <c r="F977" s="81" t="s">
        <v>474</v>
      </c>
      <c r="G977" s="81" t="s">
        <v>472</v>
      </c>
      <c r="H977" s="81">
        <v>1967</v>
      </c>
      <c r="I977" s="81" t="s">
        <v>473</v>
      </c>
    </row>
    <row r="978" spans="1:9" x14ac:dyDescent="0.3">
      <c r="A978" s="23">
        <v>7</v>
      </c>
      <c r="B978" s="23">
        <v>5</v>
      </c>
      <c r="C978" s="81">
        <v>4099</v>
      </c>
      <c r="D978" s="81">
        <v>1</v>
      </c>
      <c r="E978" s="70">
        <v>3</v>
      </c>
      <c r="F978" s="81" t="s">
        <v>474</v>
      </c>
      <c r="G978" s="81" t="s">
        <v>472</v>
      </c>
      <c r="H978" s="81">
        <v>1967</v>
      </c>
      <c r="I978" s="81" t="s">
        <v>473</v>
      </c>
    </row>
    <row r="979" spans="1:9" x14ac:dyDescent="0.3">
      <c r="A979" s="23">
        <v>7</v>
      </c>
      <c r="B979" s="23">
        <v>5</v>
      </c>
      <c r="C979" s="81">
        <v>4099</v>
      </c>
      <c r="D979" s="81">
        <v>1</v>
      </c>
      <c r="E979" s="70">
        <v>3</v>
      </c>
      <c r="F979" s="81" t="s">
        <v>474</v>
      </c>
      <c r="G979" s="81" t="s">
        <v>472</v>
      </c>
      <c r="H979" s="81">
        <v>1967</v>
      </c>
      <c r="I979" s="81" t="s">
        <v>473</v>
      </c>
    </row>
    <row r="980" spans="1:9" x14ac:dyDescent="0.3">
      <c r="A980" s="23">
        <v>7</v>
      </c>
      <c r="B980" s="23">
        <v>5</v>
      </c>
      <c r="C980" s="81">
        <v>4099</v>
      </c>
      <c r="D980" s="81">
        <v>1</v>
      </c>
      <c r="E980" s="70">
        <v>3</v>
      </c>
      <c r="F980" s="81" t="s">
        <v>474</v>
      </c>
      <c r="G980" s="81" t="s">
        <v>472</v>
      </c>
      <c r="H980" s="81">
        <v>1967</v>
      </c>
      <c r="I980" s="81" t="s">
        <v>473</v>
      </c>
    </row>
    <row r="981" spans="1:9" x14ac:dyDescent="0.3">
      <c r="A981" s="23">
        <v>7</v>
      </c>
      <c r="B981" s="23">
        <v>5</v>
      </c>
      <c r="C981" s="81">
        <v>4099</v>
      </c>
      <c r="D981" s="81">
        <v>1</v>
      </c>
      <c r="E981" s="70">
        <v>3</v>
      </c>
      <c r="F981" s="81" t="s">
        <v>474</v>
      </c>
      <c r="G981" s="81" t="s">
        <v>472</v>
      </c>
      <c r="H981" s="81">
        <v>1967</v>
      </c>
      <c r="I981" s="81" t="s">
        <v>473</v>
      </c>
    </row>
    <row r="982" spans="1:9" x14ac:dyDescent="0.3">
      <c r="A982" s="23">
        <v>7</v>
      </c>
      <c r="B982" s="23">
        <v>5</v>
      </c>
      <c r="C982" s="81">
        <v>4099</v>
      </c>
      <c r="D982" s="81">
        <v>1</v>
      </c>
      <c r="E982" s="70">
        <v>3</v>
      </c>
      <c r="F982" s="81" t="s">
        <v>474</v>
      </c>
      <c r="G982" s="81" t="s">
        <v>472</v>
      </c>
      <c r="H982" s="81">
        <v>1967</v>
      </c>
      <c r="I982" s="81" t="s">
        <v>473</v>
      </c>
    </row>
    <row r="983" spans="1:9" x14ac:dyDescent="0.3">
      <c r="A983" s="23">
        <v>7</v>
      </c>
      <c r="B983" s="23">
        <v>5</v>
      </c>
      <c r="C983" s="81">
        <v>4099</v>
      </c>
      <c r="D983" s="81">
        <v>1</v>
      </c>
      <c r="E983" s="70">
        <v>3</v>
      </c>
      <c r="F983" s="81" t="s">
        <v>474</v>
      </c>
      <c r="G983" s="81" t="s">
        <v>472</v>
      </c>
      <c r="H983" s="81">
        <v>1967</v>
      </c>
      <c r="I983" s="81" t="s">
        <v>473</v>
      </c>
    </row>
    <row r="984" spans="1:9" x14ac:dyDescent="0.3">
      <c r="A984" s="23">
        <v>7</v>
      </c>
      <c r="B984" s="23">
        <v>5</v>
      </c>
      <c r="C984" s="81">
        <v>4099</v>
      </c>
      <c r="D984" s="81">
        <v>1</v>
      </c>
      <c r="E984" s="4">
        <v>3</v>
      </c>
      <c r="F984" s="81" t="s">
        <v>474</v>
      </c>
      <c r="G984" s="81" t="s">
        <v>472</v>
      </c>
      <c r="H984" s="81">
        <v>1967</v>
      </c>
      <c r="I984" s="81" t="s">
        <v>473</v>
      </c>
    </row>
    <row r="985" spans="1:9" x14ac:dyDescent="0.3">
      <c r="A985" s="23">
        <v>7</v>
      </c>
      <c r="B985" s="23">
        <v>6</v>
      </c>
      <c r="C985" s="81">
        <v>4099</v>
      </c>
      <c r="D985" s="81">
        <v>1</v>
      </c>
      <c r="E985" s="70">
        <v>3</v>
      </c>
      <c r="F985" s="81" t="s">
        <v>474</v>
      </c>
      <c r="G985" s="81" t="s">
        <v>472</v>
      </c>
      <c r="H985" s="81">
        <v>1967</v>
      </c>
      <c r="I985" s="81" t="s">
        <v>473</v>
      </c>
    </row>
    <row r="986" spans="1:9" x14ac:dyDescent="0.3">
      <c r="A986" s="23">
        <v>7</v>
      </c>
      <c r="B986" s="23">
        <v>6</v>
      </c>
      <c r="C986" s="81">
        <v>4099</v>
      </c>
      <c r="D986" s="81">
        <v>1</v>
      </c>
      <c r="E986" s="70">
        <v>3</v>
      </c>
      <c r="F986" s="81" t="s">
        <v>474</v>
      </c>
      <c r="G986" s="81" t="s">
        <v>472</v>
      </c>
      <c r="H986" s="81">
        <v>1967</v>
      </c>
      <c r="I986" s="81" t="s">
        <v>473</v>
      </c>
    </row>
    <row r="987" spans="1:9" x14ac:dyDescent="0.3">
      <c r="A987" s="23">
        <v>7</v>
      </c>
      <c r="B987" s="23">
        <v>6</v>
      </c>
      <c r="C987" s="81">
        <v>4099</v>
      </c>
      <c r="D987" s="81">
        <v>1</v>
      </c>
      <c r="E987" s="70">
        <v>3</v>
      </c>
      <c r="F987" s="81" t="s">
        <v>474</v>
      </c>
      <c r="G987" s="81" t="s">
        <v>472</v>
      </c>
      <c r="H987" s="81">
        <v>1967</v>
      </c>
      <c r="I987" s="81" t="s">
        <v>473</v>
      </c>
    </row>
    <row r="988" spans="1:9" x14ac:dyDescent="0.3">
      <c r="A988" s="23">
        <v>7</v>
      </c>
      <c r="B988" s="23">
        <v>6</v>
      </c>
      <c r="C988" s="81">
        <v>4099</v>
      </c>
      <c r="D988" s="81">
        <v>1</v>
      </c>
      <c r="E988" s="70">
        <v>3</v>
      </c>
      <c r="F988" s="81" t="s">
        <v>474</v>
      </c>
      <c r="G988" s="81" t="s">
        <v>472</v>
      </c>
      <c r="H988" s="81">
        <v>1967</v>
      </c>
      <c r="I988" s="81" t="s">
        <v>473</v>
      </c>
    </row>
    <row r="989" spans="1:9" x14ac:dyDescent="0.3">
      <c r="A989" s="23">
        <v>7</v>
      </c>
      <c r="B989" s="23">
        <v>7</v>
      </c>
      <c r="C989" s="81">
        <v>4099</v>
      </c>
      <c r="D989" s="81">
        <v>1</v>
      </c>
      <c r="E989" s="70">
        <v>3</v>
      </c>
      <c r="F989" s="81" t="s">
        <v>474</v>
      </c>
      <c r="G989" s="81" t="s">
        <v>472</v>
      </c>
      <c r="H989" s="81">
        <v>1967</v>
      </c>
      <c r="I989" s="81" t="s">
        <v>473</v>
      </c>
    </row>
    <row r="990" spans="1:9" x14ac:dyDescent="0.3">
      <c r="A990" s="23">
        <v>7</v>
      </c>
      <c r="B990" s="23">
        <v>8</v>
      </c>
      <c r="C990" s="81">
        <v>4099</v>
      </c>
      <c r="D990" s="81">
        <v>1</v>
      </c>
      <c r="E990" s="70">
        <v>3</v>
      </c>
      <c r="F990" s="81" t="s">
        <v>474</v>
      </c>
      <c r="G990" s="81" t="s">
        <v>472</v>
      </c>
      <c r="H990" s="81">
        <v>1967</v>
      </c>
      <c r="I990" s="81" t="s">
        <v>473</v>
      </c>
    </row>
    <row r="991" spans="1:9" x14ac:dyDescent="0.3">
      <c r="A991" s="23">
        <v>7</v>
      </c>
      <c r="B991" s="23">
        <v>9</v>
      </c>
      <c r="C991" s="81">
        <v>4099</v>
      </c>
      <c r="D991" s="81">
        <v>1</v>
      </c>
      <c r="E991" s="70">
        <v>3</v>
      </c>
      <c r="F991" s="81" t="s">
        <v>474</v>
      </c>
      <c r="G991" s="81" t="s">
        <v>472</v>
      </c>
      <c r="H991" s="81">
        <v>1967</v>
      </c>
      <c r="I991" s="81" t="s">
        <v>473</v>
      </c>
    </row>
    <row r="992" spans="1:9" x14ac:dyDescent="0.3">
      <c r="A992" s="23">
        <v>7</v>
      </c>
      <c r="B992" s="23">
        <v>9</v>
      </c>
      <c r="C992" s="81">
        <v>4099</v>
      </c>
      <c r="D992" s="81">
        <v>1</v>
      </c>
      <c r="E992" s="70">
        <v>3</v>
      </c>
      <c r="F992" s="81" t="s">
        <v>474</v>
      </c>
      <c r="G992" s="81" t="s">
        <v>472</v>
      </c>
      <c r="H992" s="81">
        <v>1967</v>
      </c>
      <c r="I992" s="81" t="s">
        <v>473</v>
      </c>
    </row>
    <row r="993" spans="1:9" x14ac:dyDescent="0.3">
      <c r="A993" s="23">
        <v>7</v>
      </c>
      <c r="B993" s="23">
        <v>10</v>
      </c>
      <c r="C993" s="81">
        <v>4099</v>
      </c>
      <c r="D993" s="81">
        <v>1</v>
      </c>
      <c r="E993" s="70">
        <v>3</v>
      </c>
      <c r="F993" s="81" t="s">
        <v>474</v>
      </c>
      <c r="G993" s="81" t="s">
        <v>472</v>
      </c>
      <c r="H993" s="81">
        <v>1967</v>
      </c>
      <c r="I993" s="81" t="s">
        <v>473</v>
      </c>
    </row>
    <row r="994" spans="1:9" x14ac:dyDescent="0.3">
      <c r="A994" s="23">
        <v>8</v>
      </c>
      <c r="B994" s="23">
        <v>4</v>
      </c>
      <c r="C994" s="81">
        <v>4099</v>
      </c>
      <c r="D994" s="81">
        <v>1</v>
      </c>
      <c r="E994" s="70">
        <v>3</v>
      </c>
      <c r="F994" s="81" t="s">
        <v>474</v>
      </c>
      <c r="G994" s="81" t="s">
        <v>472</v>
      </c>
      <c r="H994" s="81">
        <v>1967</v>
      </c>
      <c r="I994" s="81" t="s">
        <v>473</v>
      </c>
    </row>
    <row r="995" spans="1:9" x14ac:dyDescent="0.3">
      <c r="A995" s="23">
        <v>8</v>
      </c>
      <c r="B995" s="23">
        <v>4</v>
      </c>
      <c r="C995" s="81">
        <v>4099</v>
      </c>
      <c r="D995" s="81">
        <v>1</v>
      </c>
      <c r="E995" s="70">
        <v>3</v>
      </c>
      <c r="F995" s="81" t="s">
        <v>474</v>
      </c>
      <c r="G995" s="81" t="s">
        <v>472</v>
      </c>
      <c r="H995" s="81">
        <v>1967</v>
      </c>
      <c r="I995" s="81" t="s">
        <v>473</v>
      </c>
    </row>
    <row r="996" spans="1:9" x14ac:dyDescent="0.3">
      <c r="A996" s="23">
        <v>8</v>
      </c>
      <c r="B996" s="23">
        <v>5</v>
      </c>
      <c r="C996" s="81">
        <v>4099</v>
      </c>
      <c r="D996" s="81">
        <v>1</v>
      </c>
      <c r="E996" s="70">
        <v>3</v>
      </c>
      <c r="F996" s="81" t="s">
        <v>474</v>
      </c>
      <c r="G996" s="81" t="s">
        <v>472</v>
      </c>
      <c r="H996" s="81">
        <v>1967</v>
      </c>
      <c r="I996" s="81" t="s">
        <v>473</v>
      </c>
    </row>
    <row r="997" spans="1:9" x14ac:dyDescent="0.3">
      <c r="A997" s="23">
        <v>8</v>
      </c>
      <c r="B997" s="23">
        <v>5</v>
      </c>
      <c r="C997" s="81">
        <v>4099</v>
      </c>
      <c r="D997" s="81">
        <v>1</v>
      </c>
      <c r="E997" s="70">
        <v>3</v>
      </c>
      <c r="F997" s="81" t="s">
        <v>474</v>
      </c>
      <c r="G997" s="81" t="s">
        <v>472</v>
      </c>
      <c r="H997" s="81">
        <v>1967</v>
      </c>
      <c r="I997" s="81" t="s">
        <v>473</v>
      </c>
    </row>
    <row r="998" spans="1:9" x14ac:dyDescent="0.3">
      <c r="A998" s="23">
        <v>8</v>
      </c>
      <c r="B998" s="23">
        <v>5</v>
      </c>
      <c r="C998" s="81">
        <v>4099</v>
      </c>
      <c r="D998" s="81">
        <v>1</v>
      </c>
      <c r="E998" s="70">
        <v>3</v>
      </c>
      <c r="F998" s="81" t="s">
        <v>474</v>
      </c>
      <c r="G998" s="81" t="s">
        <v>472</v>
      </c>
      <c r="H998" s="81">
        <v>1967</v>
      </c>
      <c r="I998" s="81" t="s">
        <v>473</v>
      </c>
    </row>
    <row r="999" spans="1:9" x14ac:dyDescent="0.3">
      <c r="A999" s="23">
        <v>8</v>
      </c>
      <c r="B999" s="23">
        <v>5</v>
      </c>
      <c r="C999" s="81">
        <v>4099</v>
      </c>
      <c r="D999" s="81">
        <v>1</v>
      </c>
      <c r="E999" s="70">
        <v>3</v>
      </c>
      <c r="F999" s="81" t="s">
        <v>474</v>
      </c>
      <c r="G999" s="81" t="s">
        <v>472</v>
      </c>
      <c r="H999" s="81">
        <v>1967</v>
      </c>
      <c r="I999" s="81" t="s">
        <v>473</v>
      </c>
    </row>
    <row r="1000" spans="1:9" x14ac:dyDescent="0.3">
      <c r="A1000" s="23">
        <v>8</v>
      </c>
      <c r="B1000" s="23">
        <v>5</v>
      </c>
      <c r="C1000" s="81">
        <v>4099</v>
      </c>
      <c r="D1000" s="81">
        <v>1</v>
      </c>
      <c r="E1000" s="70">
        <v>3</v>
      </c>
      <c r="F1000" s="81" t="s">
        <v>474</v>
      </c>
      <c r="G1000" s="81" t="s">
        <v>472</v>
      </c>
      <c r="H1000" s="81">
        <v>1967</v>
      </c>
      <c r="I1000" s="81" t="s">
        <v>473</v>
      </c>
    </row>
    <row r="1001" spans="1:9" x14ac:dyDescent="0.3">
      <c r="A1001" s="23">
        <v>8</v>
      </c>
      <c r="B1001" s="23">
        <v>5</v>
      </c>
      <c r="C1001" s="81">
        <v>4099</v>
      </c>
      <c r="D1001" s="81">
        <v>1</v>
      </c>
      <c r="E1001" s="70">
        <v>3</v>
      </c>
      <c r="F1001" s="81" t="s">
        <v>474</v>
      </c>
      <c r="G1001" s="81" t="s">
        <v>472</v>
      </c>
      <c r="H1001" s="81">
        <v>1967</v>
      </c>
      <c r="I1001" s="81" t="s">
        <v>473</v>
      </c>
    </row>
    <row r="1002" spans="1:9" x14ac:dyDescent="0.3">
      <c r="A1002" s="23">
        <v>8</v>
      </c>
      <c r="B1002" s="23">
        <v>5</v>
      </c>
      <c r="C1002" s="81">
        <v>4099</v>
      </c>
      <c r="D1002" s="81">
        <v>1</v>
      </c>
      <c r="E1002" s="70">
        <v>3</v>
      </c>
      <c r="F1002" s="81" t="s">
        <v>474</v>
      </c>
      <c r="G1002" s="81" t="s">
        <v>472</v>
      </c>
      <c r="H1002" s="81">
        <v>1967</v>
      </c>
      <c r="I1002" s="81" t="s">
        <v>473</v>
      </c>
    </row>
    <row r="1003" spans="1:9" x14ac:dyDescent="0.3">
      <c r="A1003" s="23">
        <v>8</v>
      </c>
      <c r="B1003" s="23">
        <v>6</v>
      </c>
      <c r="C1003" s="81">
        <v>4099</v>
      </c>
      <c r="D1003" s="81">
        <v>1</v>
      </c>
      <c r="E1003" s="70">
        <v>3</v>
      </c>
      <c r="F1003" s="81" t="s">
        <v>474</v>
      </c>
      <c r="G1003" s="81" t="s">
        <v>472</v>
      </c>
      <c r="H1003" s="81">
        <v>1967</v>
      </c>
      <c r="I1003" s="81" t="s">
        <v>473</v>
      </c>
    </row>
    <row r="1004" spans="1:9" x14ac:dyDescent="0.3">
      <c r="A1004" s="23">
        <v>8</v>
      </c>
      <c r="B1004" s="23">
        <v>6</v>
      </c>
      <c r="C1004" s="81">
        <v>4099</v>
      </c>
      <c r="D1004" s="81">
        <v>1</v>
      </c>
      <c r="E1004" s="70">
        <v>3</v>
      </c>
      <c r="F1004" s="81" t="s">
        <v>474</v>
      </c>
      <c r="G1004" s="81" t="s">
        <v>472</v>
      </c>
      <c r="H1004" s="81">
        <v>1967</v>
      </c>
      <c r="I1004" s="81" t="s">
        <v>473</v>
      </c>
    </row>
    <row r="1005" spans="1:9" x14ac:dyDescent="0.3">
      <c r="A1005" s="23">
        <v>8</v>
      </c>
      <c r="B1005" s="23">
        <v>6</v>
      </c>
      <c r="C1005" s="81">
        <v>4099</v>
      </c>
      <c r="D1005" s="81">
        <v>1</v>
      </c>
      <c r="E1005" s="70">
        <v>3</v>
      </c>
      <c r="F1005" s="81" t="s">
        <v>474</v>
      </c>
      <c r="G1005" s="81" t="s">
        <v>472</v>
      </c>
      <c r="H1005" s="81">
        <v>1967</v>
      </c>
      <c r="I1005" s="81" t="s">
        <v>473</v>
      </c>
    </row>
    <row r="1006" spans="1:9" x14ac:dyDescent="0.3">
      <c r="A1006" s="23">
        <v>8</v>
      </c>
      <c r="B1006" s="23">
        <v>6</v>
      </c>
      <c r="C1006" s="81">
        <v>4099</v>
      </c>
      <c r="D1006" s="81">
        <v>1</v>
      </c>
      <c r="E1006" s="70">
        <v>3</v>
      </c>
      <c r="F1006" s="81" t="s">
        <v>474</v>
      </c>
      <c r="G1006" s="81" t="s">
        <v>472</v>
      </c>
      <c r="H1006" s="81">
        <v>1967</v>
      </c>
      <c r="I1006" s="81" t="s">
        <v>473</v>
      </c>
    </row>
    <row r="1007" spans="1:9" x14ac:dyDescent="0.3">
      <c r="A1007" s="23">
        <v>8</v>
      </c>
      <c r="B1007" s="23">
        <v>7</v>
      </c>
      <c r="C1007" s="81">
        <v>4099</v>
      </c>
      <c r="D1007" s="81">
        <v>1</v>
      </c>
      <c r="E1007" s="70">
        <v>3</v>
      </c>
      <c r="F1007" s="81" t="s">
        <v>474</v>
      </c>
      <c r="G1007" s="81" t="s">
        <v>472</v>
      </c>
      <c r="H1007" s="81">
        <v>1967</v>
      </c>
      <c r="I1007" s="81" t="s">
        <v>473</v>
      </c>
    </row>
    <row r="1008" spans="1:9" x14ac:dyDescent="0.3">
      <c r="A1008" s="23">
        <v>8</v>
      </c>
      <c r="B1008" s="23">
        <v>8</v>
      </c>
      <c r="C1008" s="81">
        <v>4099</v>
      </c>
      <c r="D1008" s="81">
        <v>1</v>
      </c>
      <c r="E1008" s="70">
        <v>3</v>
      </c>
      <c r="F1008" s="81" t="s">
        <v>474</v>
      </c>
      <c r="G1008" s="81" t="s">
        <v>472</v>
      </c>
      <c r="H1008" s="81">
        <v>1967</v>
      </c>
      <c r="I1008" s="81" t="s">
        <v>473</v>
      </c>
    </row>
    <row r="1009" spans="1:9" x14ac:dyDescent="0.3">
      <c r="A1009" s="23">
        <v>9</v>
      </c>
      <c r="B1009" s="23">
        <v>4</v>
      </c>
      <c r="C1009" s="81">
        <v>4099</v>
      </c>
      <c r="D1009" s="81">
        <v>1</v>
      </c>
      <c r="E1009" s="70">
        <v>3</v>
      </c>
      <c r="F1009" s="81" t="s">
        <v>474</v>
      </c>
      <c r="G1009" s="81" t="s">
        <v>472</v>
      </c>
      <c r="H1009" s="81">
        <v>1967</v>
      </c>
      <c r="I1009" s="81" t="s">
        <v>473</v>
      </c>
    </row>
    <row r="1010" spans="1:9" x14ac:dyDescent="0.3">
      <c r="A1010" s="23">
        <v>9</v>
      </c>
      <c r="B1010" s="23">
        <v>4</v>
      </c>
      <c r="C1010" s="81">
        <v>4099</v>
      </c>
      <c r="D1010" s="81">
        <v>1</v>
      </c>
      <c r="E1010" s="70">
        <v>3</v>
      </c>
      <c r="F1010" s="81" t="s">
        <v>474</v>
      </c>
      <c r="G1010" s="81" t="s">
        <v>472</v>
      </c>
      <c r="H1010" s="81">
        <v>1967</v>
      </c>
      <c r="I1010" s="81" t="s">
        <v>473</v>
      </c>
    </row>
    <row r="1011" spans="1:9" x14ac:dyDescent="0.3">
      <c r="A1011" s="23">
        <v>9</v>
      </c>
      <c r="B1011" s="23">
        <v>4</v>
      </c>
      <c r="C1011" s="81">
        <v>4099</v>
      </c>
      <c r="D1011" s="81">
        <v>1</v>
      </c>
      <c r="E1011" s="70">
        <v>3</v>
      </c>
      <c r="F1011" s="81" t="s">
        <v>474</v>
      </c>
      <c r="G1011" s="81" t="s">
        <v>472</v>
      </c>
      <c r="H1011" s="81">
        <v>1967</v>
      </c>
      <c r="I1011" s="81" t="s">
        <v>473</v>
      </c>
    </row>
    <row r="1012" spans="1:9" x14ac:dyDescent="0.3">
      <c r="A1012" s="23">
        <v>9</v>
      </c>
      <c r="B1012" s="23">
        <v>4</v>
      </c>
      <c r="C1012" s="81">
        <v>4099</v>
      </c>
      <c r="D1012" s="81">
        <v>1</v>
      </c>
      <c r="E1012" s="70">
        <v>3</v>
      </c>
      <c r="F1012" s="81" t="s">
        <v>474</v>
      </c>
      <c r="G1012" s="81" t="s">
        <v>472</v>
      </c>
      <c r="H1012" s="81">
        <v>1967</v>
      </c>
      <c r="I1012" s="81" t="s">
        <v>473</v>
      </c>
    </row>
    <row r="1013" spans="1:9" x14ac:dyDescent="0.3">
      <c r="A1013" s="23">
        <v>9</v>
      </c>
      <c r="B1013" s="23">
        <v>5</v>
      </c>
      <c r="C1013" s="81">
        <v>4099</v>
      </c>
      <c r="D1013" s="81">
        <v>1</v>
      </c>
      <c r="E1013" s="70">
        <v>3</v>
      </c>
      <c r="F1013" s="81" t="s">
        <v>474</v>
      </c>
      <c r="G1013" s="81" t="s">
        <v>472</v>
      </c>
      <c r="H1013" s="81">
        <v>1967</v>
      </c>
      <c r="I1013" s="81" t="s">
        <v>473</v>
      </c>
    </row>
    <row r="1014" spans="1:9" x14ac:dyDescent="0.3">
      <c r="A1014" s="23">
        <v>9</v>
      </c>
      <c r="B1014" s="23">
        <v>5</v>
      </c>
      <c r="C1014" s="81">
        <v>4099</v>
      </c>
      <c r="D1014" s="81">
        <v>1</v>
      </c>
      <c r="E1014" s="70">
        <v>3</v>
      </c>
      <c r="F1014" s="81" t="s">
        <v>474</v>
      </c>
      <c r="G1014" s="81" t="s">
        <v>472</v>
      </c>
      <c r="H1014" s="81">
        <v>1967</v>
      </c>
      <c r="I1014" s="81" t="s">
        <v>473</v>
      </c>
    </row>
    <row r="1015" spans="1:9" x14ac:dyDescent="0.3">
      <c r="A1015" s="23">
        <v>9</v>
      </c>
      <c r="B1015" s="23">
        <v>5</v>
      </c>
      <c r="C1015" s="81">
        <v>4099</v>
      </c>
      <c r="D1015" s="81">
        <v>1</v>
      </c>
      <c r="E1015" s="70">
        <v>3</v>
      </c>
      <c r="F1015" s="81" t="s">
        <v>474</v>
      </c>
      <c r="G1015" s="81" t="s">
        <v>472</v>
      </c>
      <c r="H1015" s="81">
        <v>1967</v>
      </c>
      <c r="I1015" s="81" t="s">
        <v>473</v>
      </c>
    </row>
    <row r="1016" spans="1:9" x14ac:dyDescent="0.3">
      <c r="A1016" s="23">
        <v>9</v>
      </c>
      <c r="B1016" s="23">
        <v>5</v>
      </c>
      <c r="C1016" s="81">
        <v>4099</v>
      </c>
      <c r="D1016" s="81">
        <v>1</v>
      </c>
      <c r="E1016" s="70">
        <v>3</v>
      </c>
      <c r="F1016" s="81" t="s">
        <v>474</v>
      </c>
      <c r="G1016" s="81" t="s">
        <v>472</v>
      </c>
      <c r="H1016" s="81">
        <v>1967</v>
      </c>
      <c r="I1016" s="81" t="s">
        <v>473</v>
      </c>
    </row>
    <row r="1017" spans="1:9" x14ac:dyDescent="0.3">
      <c r="A1017" s="23">
        <v>9</v>
      </c>
      <c r="B1017" s="23">
        <v>5</v>
      </c>
      <c r="C1017" s="81">
        <v>4099</v>
      </c>
      <c r="D1017" s="81">
        <v>1</v>
      </c>
      <c r="E1017" s="70">
        <v>3</v>
      </c>
      <c r="F1017" s="81" t="s">
        <v>474</v>
      </c>
      <c r="G1017" s="81" t="s">
        <v>472</v>
      </c>
      <c r="H1017" s="81">
        <v>1967</v>
      </c>
      <c r="I1017" s="81" t="s">
        <v>473</v>
      </c>
    </row>
    <row r="1018" spans="1:9" x14ac:dyDescent="0.3">
      <c r="A1018" s="23">
        <v>9</v>
      </c>
      <c r="B1018" s="23">
        <v>5</v>
      </c>
      <c r="C1018" s="81">
        <v>4099</v>
      </c>
      <c r="D1018" s="81">
        <v>1</v>
      </c>
      <c r="E1018" s="70">
        <v>3</v>
      </c>
      <c r="F1018" s="81" t="s">
        <v>474</v>
      </c>
      <c r="G1018" s="81" t="s">
        <v>472</v>
      </c>
      <c r="H1018" s="81">
        <v>1967</v>
      </c>
      <c r="I1018" s="81" t="s">
        <v>473</v>
      </c>
    </row>
    <row r="1019" spans="1:9" x14ac:dyDescent="0.3">
      <c r="A1019" s="23">
        <v>9</v>
      </c>
      <c r="B1019" s="23">
        <v>6</v>
      </c>
      <c r="C1019" s="81">
        <v>4099</v>
      </c>
      <c r="D1019" s="81">
        <v>1</v>
      </c>
      <c r="E1019" s="70">
        <v>3</v>
      </c>
      <c r="F1019" s="81" t="s">
        <v>474</v>
      </c>
      <c r="G1019" s="81" t="s">
        <v>472</v>
      </c>
      <c r="H1019" s="81">
        <v>1967</v>
      </c>
      <c r="I1019" s="81" t="s">
        <v>473</v>
      </c>
    </row>
    <row r="1020" spans="1:9" x14ac:dyDescent="0.3">
      <c r="A1020" s="23">
        <v>9</v>
      </c>
      <c r="B1020" s="23">
        <v>6</v>
      </c>
      <c r="C1020" s="81">
        <v>4099</v>
      </c>
      <c r="D1020" s="81">
        <v>1</v>
      </c>
      <c r="E1020" s="70">
        <v>3</v>
      </c>
      <c r="F1020" s="81" t="s">
        <v>474</v>
      </c>
      <c r="G1020" s="81" t="s">
        <v>472</v>
      </c>
      <c r="H1020" s="81">
        <v>1967</v>
      </c>
      <c r="I1020" s="81" t="s">
        <v>473</v>
      </c>
    </row>
    <row r="1021" spans="1:9" x14ac:dyDescent="0.3">
      <c r="A1021" s="23">
        <v>9</v>
      </c>
      <c r="B1021" s="23">
        <v>6</v>
      </c>
      <c r="C1021" s="81">
        <v>4099</v>
      </c>
      <c r="D1021" s="81">
        <v>1</v>
      </c>
      <c r="E1021" s="70">
        <v>3</v>
      </c>
      <c r="F1021" s="81" t="s">
        <v>474</v>
      </c>
      <c r="G1021" s="81" t="s">
        <v>472</v>
      </c>
      <c r="H1021" s="81">
        <v>1967</v>
      </c>
      <c r="I1021" s="81" t="s">
        <v>473</v>
      </c>
    </row>
    <row r="1022" spans="1:9" x14ac:dyDescent="0.3">
      <c r="A1022" s="23">
        <v>9</v>
      </c>
      <c r="B1022" s="23">
        <v>6</v>
      </c>
      <c r="C1022" s="81">
        <v>4099</v>
      </c>
      <c r="D1022" s="81">
        <v>1</v>
      </c>
      <c r="E1022" s="70">
        <v>3</v>
      </c>
      <c r="F1022" s="81" t="s">
        <v>474</v>
      </c>
      <c r="G1022" s="81" t="s">
        <v>472</v>
      </c>
      <c r="H1022" s="81">
        <v>1967</v>
      </c>
      <c r="I1022" s="81" t="s">
        <v>473</v>
      </c>
    </row>
    <row r="1023" spans="1:9" x14ac:dyDescent="0.3">
      <c r="A1023" s="23">
        <v>9</v>
      </c>
      <c r="B1023" s="23">
        <v>6</v>
      </c>
      <c r="C1023" s="81">
        <v>4099</v>
      </c>
      <c r="D1023" s="81">
        <v>1</v>
      </c>
      <c r="E1023" s="70">
        <v>3</v>
      </c>
      <c r="F1023" s="81" t="s">
        <v>474</v>
      </c>
      <c r="G1023" s="81" t="s">
        <v>472</v>
      </c>
      <c r="H1023" s="81">
        <v>1967</v>
      </c>
      <c r="I1023" s="81" t="s">
        <v>473</v>
      </c>
    </row>
    <row r="1024" spans="1:9" x14ac:dyDescent="0.3">
      <c r="A1024" s="23">
        <v>9</v>
      </c>
      <c r="B1024" s="23">
        <v>7</v>
      </c>
      <c r="C1024" s="81">
        <v>4099</v>
      </c>
      <c r="D1024" s="81">
        <v>1</v>
      </c>
      <c r="E1024" s="70">
        <v>3</v>
      </c>
      <c r="F1024" s="81" t="s">
        <v>474</v>
      </c>
      <c r="G1024" s="81" t="s">
        <v>472</v>
      </c>
      <c r="H1024" s="81">
        <v>1967</v>
      </c>
      <c r="I1024" s="81" t="s">
        <v>473</v>
      </c>
    </row>
    <row r="1025" spans="1:9" x14ac:dyDescent="0.3">
      <c r="A1025" s="23">
        <v>9</v>
      </c>
      <c r="B1025" s="23">
        <v>7</v>
      </c>
      <c r="C1025" s="81">
        <v>4099</v>
      </c>
      <c r="D1025" s="81">
        <v>1</v>
      </c>
      <c r="E1025" s="70">
        <v>3</v>
      </c>
      <c r="F1025" s="81" t="s">
        <v>474</v>
      </c>
      <c r="G1025" s="81" t="s">
        <v>472</v>
      </c>
      <c r="H1025" s="81">
        <v>1967</v>
      </c>
      <c r="I1025" s="81" t="s">
        <v>473</v>
      </c>
    </row>
    <row r="1026" spans="1:9" x14ac:dyDescent="0.3">
      <c r="A1026" s="23">
        <v>9</v>
      </c>
      <c r="B1026" s="23">
        <v>7</v>
      </c>
      <c r="C1026" s="81">
        <v>4099</v>
      </c>
      <c r="D1026" s="81">
        <v>1</v>
      </c>
      <c r="E1026" s="70">
        <v>3</v>
      </c>
      <c r="F1026" s="81" t="s">
        <v>474</v>
      </c>
      <c r="G1026" s="81" t="s">
        <v>472</v>
      </c>
      <c r="H1026" s="81">
        <v>1967</v>
      </c>
      <c r="I1026" s="81" t="s">
        <v>473</v>
      </c>
    </row>
    <row r="1027" spans="1:9" x14ac:dyDescent="0.3">
      <c r="A1027" s="23">
        <v>9</v>
      </c>
      <c r="B1027" s="23">
        <v>7</v>
      </c>
      <c r="C1027" s="81">
        <v>4099</v>
      </c>
      <c r="D1027" s="81">
        <v>1</v>
      </c>
      <c r="E1027" s="70">
        <v>3</v>
      </c>
      <c r="F1027" s="81" t="s">
        <v>474</v>
      </c>
      <c r="G1027" s="81" t="s">
        <v>472</v>
      </c>
      <c r="H1027" s="81">
        <v>1967</v>
      </c>
      <c r="I1027" s="81" t="s">
        <v>473</v>
      </c>
    </row>
    <row r="1028" spans="1:9" x14ac:dyDescent="0.3">
      <c r="A1028" s="23">
        <v>9</v>
      </c>
      <c r="B1028" s="23">
        <v>7</v>
      </c>
      <c r="C1028" s="81">
        <v>4099</v>
      </c>
      <c r="D1028" s="81">
        <v>1</v>
      </c>
      <c r="E1028" s="70">
        <v>3</v>
      </c>
      <c r="F1028" s="81" t="s">
        <v>474</v>
      </c>
      <c r="G1028" s="81" t="s">
        <v>472</v>
      </c>
      <c r="H1028" s="81">
        <v>1967</v>
      </c>
      <c r="I1028" s="81" t="s">
        <v>473</v>
      </c>
    </row>
    <row r="1029" spans="1:9" x14ac:dyDescent="0.3">
      <c r="A1029" s="23">
        <v>9</v>
      </c>
      <c r="B1029" s="23">
        <v>8</v>
      </c>
      <c r="C1029" s="81">
        <v>4099</v>
      </c>
      <c r="D1029" s="81">
        <v>1</v>
      </c>
      <c r="E1029" s="70">
        <v>3</v>
      </c>
      <c r="F1029" s="81" t="s">
        <v>474</v>
      </c>
      <c r="G1029" s="81" t="s">
        <v>472</v>
      </c>
      <c r="H1029" s="81">
        <v>1967</v>
      </c>
      <c r="I1029" s="81" t="s">
        <v>473</v>
      </c>
    </row>
    <row r="1030" spans="1:9" x14ac:dyDescent="0.3">
      <c r="A1030" s="23">
        <v>9</v>
      </c>
      <c r="B1030" s="23">
        <v>8</v>
      </c>
      <c r="C1030" s="81">
        <v>4099</v>
      </c>
      <c r="D1030" s="81">
        <v>1</v>
      </c>
      <c r="E1030" s="70">
        <v>3</v>
      </c>
      <c r="F1030" s="81" t="s">
        <v>474</v>
      </c>
      <c r="G1030" s="81" t="s">
        <v>472</v>
      </c>
      <c r="H1030" s="81">
        <v>1967</v>
      </c>
      <c r="I1030" s="81" t="s">
        <v>473</v>
      </c>
    </row>
    <row r="1031" spans="1:9" x14ac:dyDescent="0.3">
      <c r="A1031" s="23">
        <v>9</v>
      </c>
      <c r="B1031" s="23">
        <v>8</v>
      </c>
      <c r="C1031" s="81">
        <v>4099</v>
      </c>
      <c r="D1031" s="81">
        <v>1</v>
      </c>
      <c r="E1031" s="70">
        <v>3</v>
      </c>
      <c r="F1031" s="81" t="s">
        <v>474</v>
      </c>
      <c r="G1031" s="81" t="s">
        <v>472</v>
      </c>
      <c r="H1031" s="81">
        <v>1967</v>
      </c>
      <c r="I1031" s="81" t="s">
        <v>473</v>
      </c>
    </row>
    <row r="1032" spans="1:9" x14ac:dyDescent="0.3">
      <c r="A1032" s="23">
        <v>9</v>
      </c>
      <c r="B1032" s="23">
        <v>8</v>
      </c>
      <c r="C1032" s="81">
        <v>4099</v>
      </c>
      <c r="D1032" s="81">
        <v>1</v>
      </c>
      <c r="E1032" s="70">
        <v>3</v>
      </c>
      <c r="F1032" s="81" t="s">
        <v>474</v>
      </c>
      <c r="G1032" s="81" t="s">
        <v>472</v>
      </c>
      <c r="H1032" s="81">
        <v>1967</v>
      </c>
      <c r="I1032" s="81" t="s">
        <v>473</v>
      </c>
    </row>
    <row r="1033" spans="1:9" x14ac:dyDescent="0.3">
      <c r="A1033" s="23">
        <v>10</v>
      </c>
      <c r="B1033" s="23">
        <v>5</v>
      </c>
      <c r="C1033" s="81">
        <v>4099</v>
      </c>
      <c r="D1033" s="81">
        <v>1</v>
      </c>
      <c r="E1033" s="70">
        <v>3</v>
      </c>
      <c r="F1033" s="81" t="s">
        <v>474</v>
      </c>
      <c r="G1033" s="81" t="s">
        <v>472</v>
      </c>
      <c r="H1033" s="81">
        <v>1967</v>
      </c>
      <c r="I1033" s="81" t="s">
        <v>473</v>
      </c>
    </row>
    <row r="1034" spans="1:9" x14ac:dyDescent="0.3">
      <c r="A1034" s="23">
        <v>10</v>
      </c>
      <c r="B1034" s="23">
        <v>5</v>
      </c>
      <c r="C1034" s="81">
        <v>4099</v>
      </c>
      <c r="D1034" s="81">
        <v>1</v>
      </c>
      <c r="E1034" s="70">
        <v>3</v>
      </c>
      <c r="F1034" s="81" t="s">
        <v>474</v>
      </c>
      <c r="G1034" s="81" t="s">
        <v>472</v>
      </c>
      <c r="H1034" s="81">
        <v>1967</v>
      </c>
      <c r="I1034" s="81" t="s">
        <v>473</v>
      </c>
    </row>
    <row r="1035" spans="1:9" x14ac:dyDescent="0.3">
      <c r="A1035" s="23">
        <v>10</v>
      </c>
      <c r="B1035" s="23">
        <v>5</v>
      </c>
      <c r="C1035" s="81">
        <v>4099</v>
      </c>
      <c r="D1035" s="81">
        <v>1</v>
      </c>
      <c r="E1035" s="70">
        <v>3</v>
      </c>
      <c r="F1035" s="81" t="s">
        <v>474</v>
      </c>
      <c r="G1035" s="81" t="s">
        <v>472</v>
      </c>
      <c r="H1035" s="81">
        <v>1967</v>
      </c>
      <c r="I1035" s="81" t="s">
        <v>473</v>
      </c>
    </row>
    <row r="1036" spans="1:9" x14ac:dyDescent="0.3">
      <c r="A1036" s="23">
        <v>10</v>
      </c>
      <c r="B1036" s="23">
        <v>6</v>
      </c>
      <c r="C1036" s="81">
        <v>4099</v>
      </c>
      <c r="D1036" s="81">
        <v>1</v>
      </c>
      <c r="E1036" s="70">
        <v>3</v>
      </c>
      <c r="F1036" s="81" t="s">
        <v>474</v>
      </c>
      <c r="G1036" s="81" t="s">
        <v>472</v>
      </c>
      <c r="H1036" s="81">
        <v>1967</v>
      </c>
      <c r="I1036" s="81" t="s">
        <v>473</v>
      </c>
    </row>
    <row r="1037" spans="1:9" x14ac:dyDescent="0.3">
      <c r="A1037" s="23">
        <v>10</v>
      </c>
      <c r="B1037" s="23">
        <v>6</v>
      </c>
      <c r="C1037" s="81">
        <v>4099</v>
      </c>
      <c r="D1037" s="81">
        <v>1</v>
      </c>
      <c r="E1037" s="70">
        <v>3</v>
      </c>
      <c r="F1037" s="81" t="s">
        <v>474</v>
      </c>
      <c r="G1037" s="81" t="s">
        <v>472</v>
      </c>
      <c r="H1037" s="81">
        <v>1967</v>
      </c>
      <c r="I1037" s="81" t="s">
        <v>473</v>
      </c>
    </row>
    <row r="1038" spans="1:9" x14ac:dyDescent="0.3">
      <c r="A1038" s="23">
        <v>10</v>
      </c>
      <c r="B1038" s="23">
        <v>6</v>
      </c>
      <c r="C1038" s="81">
        <v>4099</v>
      </c>
      <c r="D1038" s="81">
        <v>1</v>
      </c>
      <c r="E1038" s="70">
        <v>3</v>
      </c>
      <c r="F1038" s="81" t="s">
        <v>474</v>
      </c>
      <c r="G1038" s="81" t="s">
        <v>472</v>
      </c>
      <c r="H1038" s="81">
        <v>1967</v>
      </c>
      <c r="I1038" s="81" t="s">
        <v>473</v>
      </c>
    </row>
    <row r="1039" spans="1:9" x14ac:dyDescent="0.3">
      <c r="A1039" s="23">
        <v>10</v>
      </c>
      <c r="B1039" s="23">
        <v>6</v>
      </c>
      <c r="C1039" s="81">
        <v>4099</v>
      </c>
      <c r="D1039" s="81">
        <v>1</v>
      </c>
      <c r="E1039" s="70">
        <v>3</v>
      </c>
      <c r="F1039" s="81" t="s">
        <v>474</v>
      </c>
      <c r="G1039" s="81" t="s">
        <v>472</v>
      </c>
      <c r="H1039" s="81">
        <v>1967</v>
      </c>
      <c r="I1039" s="81" t="s">
        <v>473</v>
      </c>
    </row>
    <row r="1040" spans="1:9" x14ac:dyDescent="0.3">
      <c r="A1040" s="23">
        <v>10</v>
      </c>
      <c r="B1040" s="23">
        <v>7</v>
      </c>
      <c r="C1040" s="81">
        <v>4099</v>
      </c>
      <c r="D1040" s="81">
        <v>1</v>
      </c>
      <c r="E1040" s="70">
        <v>3</v>
      </c>
      <c r="F1040" s="81" t="s">
        <v>474</v>
      </c>
      <c r="G1040" s="81" t="s">
        <v>472</v>
      </c>
      <c r="H1040" s="81">
        <v>1967</v>
      </c>
      <c r="I1040" s="81" t="s">
        <v>473</v>
      </c>
    </row>
    <row r="1041" spans="1:9" x14ac:dyDescent="0.3">
      <c r="A1041" s="23">
        <v>10</v>
      </c>
      <c r="B1041" s="23">
        <v>7</v>
      </c>
      <c r="C1041" s="81">
        <v>4099</v>
      </c>
      <c r="D1041" s="81">
        <v>1</v>
      </c>
      <c r="E1041" s="70">
        <v>3</v>
      </c>
      <c r="F1041" s="81" t="s">
        <v>474</v>
      </c>
      <c r="G1041" s="81" t="s">
        <v>472</v>
      </c>
      <c r="H1041" s="81">
        <v>1967</v>
      </c>
      <c r="I1041" s="81" t="s">
        <v>473</v>
      </c>
    </row>
    <row r="1042" spans="1:9" x14ac:dyDescent="0.3">
      <c r="A1042" s="23">
        <v>10</v>
      </c>
      <c r="B1042" s="23">
        <v>8</v>
      </c>
      <c r="C1042" s="81">
        <v>4099</v>
      </c>
      <c r="D1042" s="81">
        <v>1</v>
      </c>
      <c r="E1042" s="70">
        <v>3</v>
      </c>
      <c r="F1042" s="81" t="s">
        <v>474</v>
      </c>
      <c r="G1042" s="81" t="s">
        <v>472</v>
      </c>
      <c r="H1042" s="81">
        <v>1967</v>
      </c>
      <c r="I1042" s="81" t="s">
        <v>473</v>
      </c>
    </row>
    <row r="1043" spans="1:9" x14ac:dyDescent="0.3">
      <c r="A1043" s="23">
        <v>10</v>
      </c>
      <c r="B1043" s="23">
        <v>8</v>
      </c>
      <c r="C1043" s="81">
        <v>4099</v>
      </c>
      <c r="D1043" s="81">
        <v>1</v>
      </c>
      <c r="E1043" s="70">
        <v>3</v>
      </c>
      <c r="F1043" s="81" t="s">
        <v>474</v>
      </c>
      <c r="G1043" s="81" t="s">
        <v>472</v>
      </c>
      <c r="H1043" s="81">
        <v>1967</v>
      </c>
      <c r="I1043" s="81" t="s">
        <v>473</v>
      </c>
    </row>
    <row r="1044" spans="1:9" x14ac:dyDescent="0.3">
      <c r="A1044" s="23">
        <v>10</v>
      </c>
      <c r="B1044" s="23">
        <v>8</v>
      </c>
      <c r="C1044" s="81">
        <v>4099</v>
      </c>
      <c r="D1044" s="81">
        <v>1</v>
      </c>
      <c r="E1044" s="70">
        <v>3</v>
      </c>
      <c r="F1044" s="81" t="s">
        <v>474</v>
      </c>
      <c r="G1044" s="81" t="s">
        <v>472</v>
      </c>
      <c r="H1044" s="81">
        <v>1967</v>
      </c>
      <c r="I1044" s="81" t="s">
        <v>473</v>
      </c>
    </row>
    <row r="1045" spans="1:9" x14ac:dyDescent="0.3">
      <c r="A1045" s="23">
        <v>10</v>
      </c>
      <c r="B1045" s="23">
        <v>8</v>
      </c>
      <c r="C1045" s="81">
        <v>4099</v>
      </c>
      <c r="D1045" s="81">
        <v>1</v>
      </c>
      <c r="E1045" s="70">
        <v>3</v>
      </c>
      <c r="F1045" s="81" t="s">
        <v>474</v>
      </c>
      <c r="G1045" s="81" t="s">
        <v>472</v>
      </c>
      <c r="H1045" s="81">
        <v>1967</v>
      </c>
      <c r="I1045" s="81" t="s">
        <v>473</v>
      </c>
    </row>
    <row r="1046" spans="1:9" x14ac:dyDescent="0.3">
      <c r="A1046" s="23">
        <v>10</v>
      </c>
      <c r="B1046" s="23">
        <v>9</v>
      </c>
      <c r="C1046" s="81">
        <v>4099</v>
      </c>
      <c r="D1046" s="81">
        <v>1</v>
      </c>
      <c r="E1046" s="70">
        <v>3</v>
      </c>
      <c r="F1046" s="81" t="s">
        <v>474</v>
      </c>
      <c r="G1046" s="81" t="s">
        <v>472</v>
      </c>
      <c r="H1046" s="81">
        <v>1967</v>
      </c>
      <c r="I1046" s="81" t="s">
        <v>473</v>
      </c>
    </row>
    <row r="1047" spans="1:9" x14ac:dyDescent="0.3">
      <c r="A1047" s="23">
        <v>10</v>
      </c>
      <c r="B1047" s="23">
        <v>9</v>
      </c>
      <c r="C1047" s="81">
        <v>4099</v>
      </c>
      <c r="D1047" s="81">
        <v>1</v>
      </c>
      <c r="E1047" s="70">
        <v>3</v>
      </c>
      <c r="F1047" s="81" t="s">
        <v>474</v>
      </c>
      <c r="G1047" s="81" t="s">
        <v>472</v>
      </c>
      <c r="H1047" s="81">
        <v>1967</v>
      </c>
      <c r="I1047" s="81" t="s">
        <v>473</v>
      </c>
    </row>
    <row r="1048" spans="1:9" x14ac:dyDescent="0.3">
      <c r="A1048" s="23">
        <v>10</v>
      </c>
      <c r="B1048" s="23">
        <v>11</v>
      </c>
      <c r="C1048" s="81">
        <v>4099</v>
      </c>
      <c r="D1048" s="81">
        <v>1</v>
      </c>
      <c r="E1048" s="70">
        <v>3</v>
      </c>
      <c r="F1048" s="81" t="s">
        <v>474</v>
      </c>
      <c r="G1048" s="81" t="s">
        <v>472</v>
      </c>
      <c r="H1048" s="81">
        <v>1967</v>
      </c>
      <c r="I1048" s="81" t="s">
        <v>473</v>
      </c>
    </row>
    <row r="1049" spans="1:9" x14ac:dyDescent="0.3">
      <c r="A1049" s="23">
        <v>11</v>
      </c>
      <c r="B1049" s="23">
        <v>7</v>
      </c>
      <c r="C1049" s="81">
        <v>4099</v>
      </c>
      <c r="D1049" s="81">
        <v>1</v>
      </c>
      <c r="E1049" s="70">
        <v>3</v>
      </c>
      <c r="F1049" s="81" t="s">
        <v>474</v>
      </c>
      <c r="G1049" s="81" t="s">
        <v>472</v>
      </c>
      <c r="H1049" s="81">
        <v>1967</v>
      </c>
      <c r="I1049" s="81" t="s">
        <v>473</v>
      </c>
    </row>
    <row r="1050" spans="1:9" x14ac:dyDescent="0.3">
      <c r="A1050" s="23">
        <v>11</v>
      </c>
      <c r="B1050" s="23">
        <v>7</v>
      </c>
      <c r="C1050" s="81">
        <v>4099</v>
      </c>
      <c r="D1050" s="81">
        <v>1</v>
      </c>
      <c r="E1050" s="70">
        <v>3</v>
      </c>
      <c r="F1050" s="81" t="s">
        <v>474</v>
      </c>
      <c r="G1050" s="81" t="s">
        <v>472</v>
      </c>
      <c r="H1050" s="81">
        <v>1967</v>
      </c>
      <c r="I1050" s="81" t="s">
        <v>473</v>
      </c>
    </row>
    <row r="1051" spans="1:9" x14ac:dyDescent="0.3">
      <c r="A1051" s="23">
        <v>11</v>
      </c>
      <c r="B1051" s="23">
        <v>7</v>
      </c>
      <c r="C1051" s="81">
        <v>4099</v>
      </c>
      <c r="D1051" s="81">
        <v>1</v>
      </c>
      <c r="E1051" s="70">
        <v>3</v>
      </c>
      <c r="F1051" s="81" t="s">
        <v>474</v>
      </c>
      <c r="G1051" s="81" t="s">
        <v>472</v>
      </c>
      <c r="H1051" s="81">
        <v>1967</v>
      </c>
      <c r="I1051" s="81" t="s">
        <v>473</v>
      </c>
    </row>
    <row r="1052" spans="1:9" x14ac:dyDescent="0.3">
      <c r="A1052" s="23">
        <v>11</v>
      </c>
      <c r="B1052" s="23">
        <v>8</v>
      </c>
      <c r="C1052" s="81">
        <v>4099</v>
      </c>
      <c r="D1052" s="81">
        <v>1</v>
      </c>
      <c r="E1052" s="70">
        <v>3</v>
      </c>
      <c r="F1052" s="81" t="s">
        <v>474</v>
      </c>
      <c r="G1052" s="81" t="s">
        <v>472</v>
      </c>
      <c r="H1052" s="81">
        <v>1967</v>
      </c>
      <c r="I1052" s="81" t="s">
        <v>473</v>
      </c>
    </row>
    <row r="1053" spans="1:9" x14ac:dyDescent="0.3">
      <c r="A1053" s="23">
        <v>11</v>
      </c>
      <c r="B1053" s="23">
        <v>8</v>
      </c>
      <c r="C1053" s="81">
        <v>4099</v>
      </c>
      <c r="D1053" s="81">
        <v>1</v>
      </c>
      <c r="E1053" s="70">
        <v>3</v>
      </c>
      <c r="F1053" s="81" t="s">
        <v>474</v>
      </c>
      <c r="G1053" s="81" t="s">
        <v>472</v>
      </c>
      <c r="H1053" s="81">
        <v>1967</v>
      </c>
      <c r="I1053" s="81" t="s">
        <v>473</v>
      </c>
    </row>
    <row r="1054" spans="1:9" x14ac:dyDescent="0.3">
      <c r="A1054" s="23">
        <v>11</v>
      </c>
      <c r="B1054" s="23">
        <v>8</v>
      </c>
      <c r="C1054" s="81">
        <v>4099</v>
      </c>
      <c r="D1054" s="81">
        <v>1</v>
      </c>
      <c r="E1054" s="70">
        <v>3</v>
      </c>
      <c r="F1054" s="81" t="s">
        <v>474</v>
      </c>
      <c r="G1054" s="81" t="s">
        <v>472</v>
      </c>
      <c r="H1054" s="81">
        <v>1967</v>
      </c>
      <c r="I1054" s="81" t="s">
        <v>473</v>
      </c>
    </row>
    <row r="1055" spans="1:9" x14ac:dyDescent="0.3">
      <c r="A1055" s="23">
        <v>11</v>
      </c>
      <c r="B1055" s="23">
        <v>9</v>
      </c>
      <c r="C1055" s="81">
        <v>4099</v>
      </c>
      <c r="D1055" s="81">
        <v>1</v>
      </c>
      <c r="E1055" s="4">
        <v>3</v>
      </c>
      <c r="F1055" s="81" t="s">
        <v>474</v>
      </c>
      <c r="G1055" s="81" t="s">
        <v>472</v>
      </c>
      <c r="H1055" s="81">
        <v>1967</v>
      </c>
      <c r="I1055" s="81" t="s">
        <v>473</v>
      </c>
    </row>
    <row r="1056" spans="1:9" x14ac:dyDescent="0.3">
      <c r="A1056" s="23">
        <v>11</v>
      </c>
      <c r="B1056" s="23">
        <v>9</v>
      </c>
      <c r="C1056" s="81">
        <v>4099</v>
      </c>
      <c r="D1056" s="81">
        <v>1</v>
      </c>
      <c r="E1056" s="70">
        <v>3</v>
      </c>
      <c r="F1056" s="81" t="s">
        <v>474</v>
      </c>
      <c r="G1056" s="81" t="s">
        <v>472</v>
      </c>
      <c r="H1056" s="81">
        <v>1967</v>
      </c>
      <c r="I1056" s="81" t="s">
        <v>473</v>
      </c>
    </row>
    <row r="1057" spans="1:9" x14ac:dyDescent="0.3">
      <c r="A1057" s="23">
        <v>11</v>
      </c>
      <c r="B1057" s="23">
        <v>9</v>
      </c>
      <c r="C1057" s="81">
        <v>4099</v>
      </c>
      <c r="D1057" s="81">
        <v>1</v>
      </c>
      <c r="E1057" s="70">
        <v>3</v>
      </c>
      <c r="F1057" s="81" t="s">
        <v>474</v>
      </c>
      <c r="G1057" s="81" t="s">
        <v>472</v>
      </c>
      <c r="H1057" s="81">
        <v>1967</v>
      </c>
      <c r="I1057" s="81" t="s">
        <v>473</v>
      </c>
    </row>
    <row r="1058" spans="1:9" x14ac:dyDescent="0.3">
      <c r="A1058" s="23">
        <v>11</v>
      </c>
      <c r="B1058" s="23">
        <v>10</v>
      </c>
      <c r="C1058" s="81">
        <v>4099</v>
      </c>
      <c r="D1058" s="81">
        <v>1</v>
      </c>
      <c r="E1058" s="70">
        <v>3</v>
      </c>
      <c r="F1058" s="81" t="s">
        <v>474</v>
      </c>
      <c r="G1058" s="81" t="s">
        <v>472</v>
      </c>
      <c r="H1058" s="81">
        <v>1967</v>
      </c>
      <c r="I1058" s="81" t="s">
        <v>473</v>
      </c>
    </row>
    <row r="1059" spans="1:9" x14ac:dyDescent="0.3">
      <c r="A1059" s="23">
        <v>12</v>
      </c>
      <c r="B1059" s="23">
        <v>8</v>
      </c>
      <c r="C1059" s="81">
        <v>4099</v>
      </c>
      <c r="D1059" s="81">
        <v>1</v>
      </c>
      <c r="E1059" s="70">
        <v>3</v>
      </c>
      <c r="F1059" s="81" t="s">
        <v>474</v>
      </c>
      <c r="G1059" s="81" t="s">
        <v>472</v>
      </c>
      <c r="H1059" s="81">
        <v>1967</v>
      </c>
      <c r="I1059" s="81" t="s">
        <v>473</v>
      </c>
    </row>
    <row r="1060" spans="1:9" x14ac:dyDescent="0.3">
      <c r="A1060" s="23">
        <v>12</v>
      </c>
      <c r="B1060" s="23">
        <v>10</v>
      </c>
      <c r="C1060" s="81">
        <v>4099</v>
      </c>
      <c r="D1060" s="81">
        <v>1</v>
      </c>
      <c r="E1060" s="70">
        <v>3</v>
      </c>
      <c r="F1060" s="81" t="s">
        <v>474</v>
      </c>
      <c r="G1060" s="81" t="s">
        <v>472</v>
      </c>
      <c r="H1060" s="81">
        <v>1967</v>
      </c>
      <c r="I1060" s="81" t="s">
        <v>473</v>
      </c>
    </row>
    <row r="1061" spans="1:9" x14ac:dyDescent="0.3">
      <c r="A1061" s="23">
        <v>12</v>
      </c>
      <c r="B1061" s="23">
        <v>11</v>
      </c>
      <c r="C1061" s="81">
        <v>4099</v>
      </c>
      <c r="D1061" s="81">
        <v>1</v>
      </c>
      <c r="E1061" s="70">
        <v>3</v>
      </c>
      <c r="F1061" s="81" t="s">
        <v>474</v>
      </c>
      <c r="G1061" s="81" t="s">
        <v>472</v>
      </c>
      <c r="H1061" s="81">
        <v>1967</v>
      </c>
      <c r="I1061" s="81" t="s">
        <v>473</v>
      </c>
    </row>
    <row r="1062" spans="1:9" x14ac:dyDescent="0.3">
      <c r="A1062" s="23">
        <v>1.6</v>
      </c>
      <c r="B1062" s="23">
        <v>6.65</v>
      </c>
      <c r="C1062" s="81">
        <v>6120</v>
      </c>
      <c r="D1062" s="81">
        <v>1</v>
      </c>
      <c r="E1062" s="70">
        <v>1</v>
      </c>
      <c r="F1062" s="81" t="s">
        <v>260</v>
      </c>
      <c r="G1062" s="81" t="s">
        <v>246</v>
      </c>
      <c r="H1062" s="81">
        <v>1976</v>
      </c>
      <c r="I1062" s="81" t="s">
        <v>247</v>
      </c>
    </row>
    <row r="1063" spans="1:9" x14ac:dyDescent="0.3">
      <c r="A1063" s="23">
        <v>1.63</v>
      </c>
      <c r="B1063" s="23">
        <v>1.61</v>
      </c>
      <c r="C1063" s="81">
        <v>6120</v>
      </c>
      <c r="D1063" s="81">
        <v>1</v>
      </c>
      <c r="E1063" s="70">
        <v>1</v>
      </c>
      <c r="F1063" s="81" t="s">
        <v>260</v>
      </c>
      <c r="G1063" s="81" t="s">
        <v>246</v>
      </c>
      <c r="H1063" s="81">
        <v>1976</v>
      </c>
      <c r="I1063" s="81" t="s">
        <v>247</v>
      </c>
    </row>
    <row r="1064" spans="1:9" x14ac:dyDescent="0.3">
      <c r="A1064" s="23">
        <v>1.63</v>
      </c>
      <c r="B1064" s="23">
        <v>7.61</v>
      </c>
      <c r="C1064" s="81">
        <v>6120</v>
      </c>
      <c r="D1064" s="81">
        <v>1</v>
      </c>
      <c r="E1064" s="70">
        <v>1</v>
      </c>
      <c r="F1064" s="81" t="s">
        <v>260</v>
      </c>
      <c r="G1064" s="81" t="s">
        <v>246</v>
      </c>
      <c r="H1064" s="81">
        <v>1976</v>
      </c>
      <c r="I1064" s="81" t="s">
        <v>247</v>
      </c>
    </row>
    <row r="1065" spans="1:9" x14ac:dyDescent="0.3">
      <c r="A1065" s="23">
        <v>1.66</v>
      </c>
      <c r="B1065" s="23">
        <v>3.67</v>
      </c>
      <c r="C1065" s="81">
        <v>6120</v>
      </c>
      <c r="D1065" s="81">
        <v>1</v>
      </c>
      <c r="E1065" s="70">
        <v>1</v>
      </c>
      <c r="F1065" s="81" t="s">
        <v>260</v>
      </c>
      <c r="G1065" s="81" t="s">
        <v>246</v>
      </c>
      <c r="H1065" s="81">
        <v>1976</v>
      </c>
      <c r="I1065" s="81" t="s">
        <v>247</v>
      </c>
    </row>
    <row r="1066" spans="1:9" x14ac:dyDescent="0.3">
      <c r="A1066" s="23">
        <v>1.66</v>
      </c>
      <c r="B1066" s="23">
        <v>7.78</v>
      </c>
      <c r="C1066" s="81">
        <v>6120</v>
      </c>
      <c r="D1066" s="81">
        <v>1</v>
      </c>
      <c r="E1066" s="70">
        <v>1</v>
      </c>
      <c r="F1066" s="81" t="s">
        <v>260</v>
      </c>
      <c r="G1066" s="81" t="s">
        <v>246</v>
      </c>
      <c r="H1066" s="81">
        <v>1976</v>
      </c>
      <c r="I1066" s="81" t="s">
        <v>247</v>
      </c>
    </row>
    <row r="1067" spans="1:9" x14ac:dyDescent="0.3">
      <c r="A1067" s="23">
        <v>1.66</v>
      </c>
      <c r="B1067" s="23">
        <v>9.9499999999999993</v>
      </c>
      <c r="C1067" s="81">
        <v>6120</v>
      </c>
      <c r="D1067" s="81">
        <v>1</v>
      </c>
      <c r="E1067" s="70">
        <v>1</v>
      </c>
      <c r="F1067" s="81" t="s">
        <v>260</v>
      </c>
      <c r="G1067" s="81" t="s">
        <v>246</v>
      </c>
      <c r="H1067" s="81">
        <v>1976</v>
      </c>
      <c r="I1067" s="81" t="s">
        <v>247</v>
      </c>
    </row>
    <row r="1068" spans="1:9" x14ac:dyDescent="0.3">
      <c r="A1068" s="23">
        <v>1.69</v>
      </c>
      <c r="B1068" s="23">
        <v>9.7200000000000006</v>
      </c>
      <c r="C1068" s="81">
        <v>6120</v>
      </c>
      <c r="D1068" s="81">
        <v>1</v>
      </c>
      <c r="E1068" s="70">
        <v>1</v>
      </c>
      <c r="F1068" s="81" t="s">
        <v>260</v>
      </c>
      <c r="G1068" s="81" t="s">
        <v>246</v>
      </c>
      <c r="H1068" s="81">
        <v>1976</v>
      </c>
      <c r="I1068" s="81" t="s">
        <v>247</v>
      </c>
    </row>
    <row r="1069" spans="1:9" x14ac:dyDescent="0.3">
      <c r="A1069" s="23">
        <v>1.69</v>
      </c>
      <c r="B1069" s="23">
        <v>11.63</v>
      </c>
      <c r="C1069" s="81">
        <v>6120</v>
      </c>
      <c r="D1069" s="81">
        <v>1</v>
      </c>
      <c r="E1069" s="70">
        <v>1</v>
      </c>
      <c r="F1069" s="81" t="s">
        <v>260</v>
      </c>
      <c r="G1069" s="81" t="s">
        <v>246</v>
      </c>
      <c r="H1069" s="81">
        <v>1976</v>
      </c>
      <c r="I1069" s="81" t="s">
        <v>247</v>
      </c>
    </row>
    <row r="1070" spans="1:9" x14ac:dyDescent="0.3">
      <c r="A1070" s="23">
        <v>1.75</v>
      </c>
      <c r="B1070" s="23">
        <v>7.66</v>
      </c>
      <c r="C1070" s="81">
        <v>6120</v>
      </c>
      <c r="D1070" s="81">
        <v>1</v>
      </c>
      <c r="E1070" s="70">
        <v>1</v>
      </c>
      <c r="F1070" s="81" t="s">
        <v>260</v>
      </c>
      <c r="G1070" s="81" t="s">
        <v>246</v>
      </c>
      <c r="H1070" s="81">
        <v>1976</v>
      </c>
      <c r="I1070" s="81" t="s">
        <v>247</v>
      </c>
    </row>
    <row r="1071" spans="1:9" x14ac:dyDescent="0.3">
      <c r="A1071" s="23">
        <v>1.75</v>
      </c>
      <c r="B1071" s="23">
        <v>8.65</v>
      </c>
      <c r="C1071" s="81">
        <v>6120</v>
      </c>
      <c r="D1071" s="81">
        <v>1</v>
      </c>
      <c r="E1071" s="70">
        <v>1</v>
      </c>
      <c r="F1071" s="81" t="s">
        <v>260</v>
      </c>
      <c r="G1071" s="81" t="s">
        <v>246</v>
      </c>
      <c r="H1071" s="81">
        <v>1976</v>
      </c>
      <c r="I1071" s="81" t="s">
        <v>247</v>
      </c>
    </row>
    <row r="1072" spans="1:9" x14ac:dyDescent="0.3">
      <c r="A1072" s="23">
        <v>1.75</v>
      </c>
      <c r="B1072" s="23">
        <v>9.7200000000000006</v>
      </c>
      <c r="C1072" s="81">
        <v>6120</v>
      </c>
      <c r="D1072" s="81">
        <v>1</v>
      </c>
      <c r="E1072" s="70">
        <v>1</v>
      </c>
      <c r="F1072" s="81" t="s">
        <v>260</v>
      </c>
      <c r="G1072" s="81" t="s">
        <v>246</v>
      </c>
      <c r="H1072" s="81">
        <v>1976</v>
      </c>
      <c r="I1072" s="81" t="s">
        <v>247</v>
      </c>
    </row>
    <row r="1073" spans="1:9" x14ac:dyDescent="0.3">
      <c r="A1073" s="23">
        <v>1.75</v>
      </c>
      <c r="B1073" s="23">
        <v>9.81</v>
      </c>
      <c r="C1073" s="81">
        <v>6120</v>
      </c>
      <c r="D1073" s="81">
        <v>1</v>
      </c>
      <c r="E1073" s="70">
        <v>1</v>
      </c>
      <c r="F1073" s="81" t="s">
        <v>260</v>
      </c>
      <c r="G1073" s="81" t="s">
        <v>246</v>
      </c>
      <c r="H1073" s="81">
        <v>1976</v>
      </c>
      <c r="I1073" s="81" t="s">
        <v>247</v>
      </c>
    </row>
    <row r="1074" spans="1:9" x14ac:dyDescent="0.3">
      <c r="A1074" s="23">
        <v>1.81</v>
      </c>
      <c r="B1074" s="23">
        <v>9.9499999999999993</v>
      </c>
      <c r="C1074" s="81">
        <v>6120</v>
      </c>
      <c r="D1074" s="81">
        <v>1</v>
      </c>
      <c r="E1074" s="70">
        <v>1</v>
      </c>
      <c r="F1074" s="81" t="s">
        <v>260</v>
      </c>
      <c r="G1074" s="81" t="s">
        <v>246</v>
      </c>
      <c r="H1074" s="81">
        <v>1976</v>
      </c>
      <c r="I1074" s="81" t="s">
        <v>247</v>
      </c>
    </row>
    <row r="1075" spans="1:9" x14ac:dyDescent="0.3">
      <c r="A1075" s="23">
        <v>1.87</v>
      </c>
      <c r="B1075" s="23">
        <v>9.81</v>
      </c>
      <c r="C1075" s="81">
        <v>6120</v>
      </c>
      <c r="D1075" s="81">
        <v>1</v>
      </c>
      <c r="E1075" s="70">
        <v>1</v>
      </c>
      <c r="F1075" s="81" t="s">
        <v>260</v>
      </c>
      <c r="G1075" s="81" t="s">
        <v>246</v>
      </c>
      <c r="H1075" s="81">
        <v>1976</v>
      </c>
      <c r="I1075" s="81" t="s">
        <v>247</v>
      </c>
    </row>
    <row r="1076" spans="1:9" x14ac:dyDescent="0.3">
      <c r="A1076" s="23">
        <v>1.9</v>
      </c>
      <c r="B1076" s="23">
        <v>9.7200000000000006</v>
      </c>
      <c r="C1076" s="81">
        <v>6120</v>
      </c>
      <c r="D1076" s="81">
        <v>1</v>
      </c>
      <c r="E1076" s="70">
        <v>1</v>
      </c>
      <c r="F1076" s="81" t="s">
        <v>260</v>
      </c>
      <c r="G1076" s="81" t="s">
        <v>246</v>
      </c>
      <c r="H1076" s="81">
        <v>1976</v>
      </c>
      <c r="I1076" s="81" t="s">
        <v>247</v>
      </c>
    </row>
    <row r="1077" spans="1:9" x14ac:dyDescent="0.3">
      <c r="A1077" s="23">
        <v>1.9</v>
      </c>
      <c r="B1077" s="23">
        <v>9.89</v>
      </c>
      <c r="C1077" s="81">
        <v>6120</v>
      </c>
      <c r="D1077" s="81">
        <v>1</v>
      </c>
      <c r="E1077" s="70">
        <v>1</v>
      </c>
      <c r="F1077" s="81" t="s">
        <v>260</v>
      </c>
      <c r="G1077" s="81" t="s">
        <v>246</v>
      </c>
      <c r="H1077" s="81">
        <v>1976</v>
      </c>
      <c r="I1077" s="81" t="s">
        <v>247</v>
      </c>
    </row>
    <row r="1078" spans="1:9" x14ac:dyDescent="0.3">
      <c r="A1078" s="23">
        <v>2.6</v>
      </c>
      <c r="B1078" s="23">
        <v>9.6</v>
      </c>
      <c r="C1078" s="81">
        <v>6120</v>
      </c>
      <c r="D1078" s="81">
        <v>1</v>
      </c>
      <c r="E1078" s="70">
        <v>1</v>
      </c>
      <c r="F1078" s="81" t="s">
        <v>260</v>
      </c>
      <c r="G1078" s="81" t="s">
        <v>246</v>
      </c>
      <c r="H1078" s="81">
        <v>1976</v>
      </c>
      <c r="I1078" s="81" t="s">
        <v>247</v>
      </c>
    </row>
    <row r="1079" spans="1:9" x14ac:dyDescent="0.3">
      <c r="A1079" s="23">
        <v>2.66</v>
      </c>
      <c r="B1079" s="23">
        <v>6.62</v>
      </c>
      <c r="C1079" s="81">
        <v>6120</v>
      </c>
      <c r="D1079" s="81">
        <v>1</v>
      </c>
      <c r="E1079" s="70">
        <v>1</v>
      </c>
      <c r="F1079" s="81" t="s">
        <v>260</v>
      </c>
      <c r="G1079" s="81" t="s">
        <v>246</v>
      </c>
      <c r="H1079" s="81">
        <v>1976</v>
      </c>
      <c r="I1079" s="81" t="s">
        <v>247</v>
      </c>
    </row>
    <row r="1080" spans="1:9" x14ac:dyDescent="0.3">
      <c r="A1080" s="23">
        <v>2.66</v>
      </c>
      <c r="B1080" s="23">
        <v>10.59</v>
      </c>
      <c r="C1080" s="81">
        <v>6120</v>
      </c>
      <c r="D1080" s="81">
        <v>1</v>
      </c>
      <c r="E1080" s="70">
        <v>1</v>
      </c>
      <c r="F1080" s="81" t="s">
        <v>260</v>
      </c>
      <c r="G1080" s="81" t="s">
        <v>246</v>
      </c>
      <c r="H1080" s="81">
        <v>1976</v>
      </c>
      <c r="I1080" s="81" t="s">
        <v>247</v>
      </c>
    </row>
    <row r="1081" spans="1:9" x14ac:dyDescent="0.3">
      <c r="A1081" s="23">
        <v>2.66</v>
      </c>
      <c r="B1081" s="23">
        <v>15.6</v>
      </c>
      <c r="C1081" s="81">
        <v>6120</v>
      </c>
      <c r="D1081" s="81">
        <v>1</v>
      </c>
      <c r="E1081" s="70">
        <v>1</v>
      </c>
      <c r="F1081" s="81" t="s">
        <v>260</v>
      </c>
      <c r="G1081" s="81" t="s">
        <v>246</v>
      </c>
      <c r="H1081" s="81">
        <v>1976</v>
      </c>
      <c r="I1081" s="81" t="s">
        <v>247</v>
      </c>
    </row>
    <row r="1082" spans="1:9" x14ac:dyDescent="0.3">
      <c r="A1082" s="23">
        <v>2.69</v>
      </c>
      <c r="B1082" s="23">
        <v>11.66</v>
      </c>
      <c r="C1082" s="81">
        <v>6120</v>
      </c>
      <c r="D1082" s="81">
        <v>1</v>
      </c>
      <c r="E1082" s="70">
        <v>1</v>
      </c>
      <c r="F1082" s="81" t="s">
        <v>260</v>
      </c>
      <c r="G1082" s="81" t="s">
        <v>246</v>
      </c>
      <c r="H1082" s="81">
        <v>1976</v>
      </c>
      <c r="I1082" s="81" t="s">
        <v>247</v>
      </c>
    </row>
    <row r="1083" spans="1:9" x14ac:dyDescent="0.3">
      <c r="A1083" s="23">
        <v>2.72</v>
      </c>
      <c r="B1083" s="23">
        <v>12.7</v>
      </c>
      <c r="C1083" s="81">
        <v>6120</v>
      </c>
      <c r="D1083" s="81">
        <v>1</v>
      </c>
      <c r="E1083" s="70">
        <v>1</v>
      </c>
      <c r="F1083" s="81" t="s">
        <v>260</v>
      </c>
      <c r="G1083" s="81" t="s">
        <v>246</v>
      </c>
      <c r="H1083" s="81">
        <v>1976</v>
      </c>
      <c r="I1083" s="81" t="s">
        <v>247</v>
      </c>
    </row>
    <row r="1084" spans="1:9" x14ac:dyDescent="0.3">
      <c r="A1084" s="23">
        <v>3.65</v>
      </c>
      <c r="B1084" s="23">
        <v>3.61</v>
      </c>
      <c r="C1084" s="81">
        <v>6120</v>
      </c>
      <c r="D1084" s="81">
        <v>1</v>
      </c>
      <c r="E1084" s="70">
        <v>1</v>
      </c>
      <c r="F1084" s="81" t="s">
        <v>260</v>
      </c>
      <c r="G1084" s="81" t="s">
        <v>246</v>
      </c>
      <c r="H1084" s="81">
        <v>1976</v>
      </c>
      <c r="I1084" s="81" t="s">
        <v>247</v>
      </c>
    </row>
    <row r="1085" spans="1:9" x14ac:dyDescent="0.3">
      <c r="A1085" s="23">
        <v>3.65</v>
      </c>
      <c r="B1085" s="23">
        <v>5.67</v>
      </c>
      <c r="C1085" s="81">
        <v>6120</v>
      </c>
      <c r="D1085" s="81">
        <v>1</v>
      </c>
      <c r="E1085" s="70">
        <v>1</v>
      </c>
      <c r="F1085" s="81" t="s">
        <v>260</v>
      </c>
      <c r="G1085" s="81" t="s">
        <v>246</v>
      </c>
      <c r="H1085" s="81">
        <v>1976</v>
      </c>
      <c r="I1085" s="81" t="s">
        <v>247</v>
      </c>
    </row>
    <row r="1086" spans="1:9" x14ac:dyDescent="0.3">
      <c r="A1086" s="23">
        <v>3.65</v>
      </c>
      <c r="B1086" s="23">
        <v>7.66</v>
      </c>
      <c r="C1086" s="81">
        <v>6120</v>
      </c>
      <c r="D1086" s="81">
        <v>1</v>
      </c>
      <c r="E1086" s="70">
        <v>1</v>
      </c>
      <c r="F1086" s="81" t="s">
        <v>260</v>
      </c>
      <c r="G1086" s="81" t="s">
        <v>246</v>
      </c>
      <c r="H1086" s="81">
        <v>1976</v>
      </c>
      <c r="I1086" s="81" t="s">
        <v>247</v>
      </c>
    </row>
    <row r="1087" spans="1:9" x14ac:dyDescent="0.3">
      <c r="A1087" s="23">
        <v>3.65</v>
      </c>
      <c r="B1087" s="23">
        <v>9.6300000000000008</v>
      </c>
      <c r="C1087" s="81">
        <v>6120</v>
      </c>
      <c r="D1087" s="81">
        <v>1</v>
      </c>
      <c r="E1087" s="70">
        <v>1</v>
      </c>
      <c r="F1087" s="81" t="s">
        <v>260</v>
      </c>
      <c r="G1087" s="81" t="s">
        <v>246</v>
      </c>
      <c r="H1087" s="81">
        <v>1976</v>
      </c>
      <c r="I1087" s="81" t="s">
        <v>247</v>
      </c>
    </row>
    <row r="1088" spans="1:9" x14ac:dyDescent="0.3">
      <c r="A1088" s="23">
        <v>3.65</v>
      </c>
      <c r="B1088" s="23">
        <v>10.73</v>
      </c>
      <c r="C1088" s="81">
        <v>6120</v>
      </c>
      <c r="D1088" s="81">
        <v>1</v>
      </c>
      <c r="E1088" s="70">
        <v>1</v>
      </c>
      <c r="F1088" s="81" t="s">
        <v>260</v>
      </c>
      <c r="G1088" s="81" t="s">
        <v>246</v>
      </c>
      <c r="H1088" s="81">
        <v>1976</v>
      </c>
      <c r="I1088" s="81" t="s">
        <v>247</v>
      </c>
    </row>
    <row r="1089" spans="1:9" x14ac:dyDescent="0.3">
      <c r="A1089" s="23">
        <v>3.71</v>
      </c>
      <c r="B1089" s="23">
        <v>8.65</v>
      </c>
      <c r="C1089" s="81">
        <v>6120</v>
      </c>
      <c r="D1089" s="81">
        <v>1</v>
      </c>
      <c r="E1089" s="70">
        <v>1</v>
      </c>
      <c r="F1089" s="81" t="s">
        <v>260</v>
      </c>
      <c r="G1089" s="81" t="s">
        <v>246</v>
      </c>
      <c r="H1089" s="81">
        <v>1976</v>
      </c>
      <c r="I1089" s="81" t="s">
        <v>247</v>
      </c>
    </row>
    <row r="1090" spans="1:9" x14ac:dyDescent="0.3">
      <c r="A1090" s="23">
        <v>3.71</v>
      </c>
      <c r="B1090" s="23">
        <v>10.7</v>
      </c>
      <c r="C1090" s="81">
        <v>6120</v>
      </c>
      <c r="D1090" s="81">
        <v>1</v>
      </c>
      <c r="E1090" s="70">
        <v>1</v>
      </c>
      <c r="F1090" s="81" t="s">
        <v>260</v>
      </c>
      <c r="G1090" s="81" t="s">
        <v>246</v>
      </c>
      <c r="H1090" s="81">
        <v>1976</v>
      </c>
      <c r="I1090" s="81" t="s">
        <v>247</v>
      </c>
    </row>
    <row r="1091" spans="1:9" x14ac:dyDescent="0.3">
      <c r="A1091" s="23">
        <v>3.74</v>
      </c>
      <c r="B1091" s="23">
        <v>11.66</v>
      </c>
      <c r="C1091" s="81">
        <v>6120</v>
      </c>
      <c r="D1091" s="81">
        <v>1</v>
      </c>
      <c r="E1091" s="70">
        <v>1</v>
      </c>
      <c r="F1091" s="81" t="s">
        <v>260</v>
      </c>
      <c r="G1091" s="81" t="s">
        <v>246</v>
      </c>
      <c r="H1091" s="81">
        <v>1976</v>
      </c>
      <c r="I1091" s="81" t="s">
        <v>247</v>
      </c>
    </row>
    <row r="1092" spans="1:9" x14ac:dyDescent="0.3">
      <c r="A1092" s="23">
        <v>3.74</v>
      </c>
      <c r="B1092" s="23">
        <v>12.64</v>
      </c>
      <c r="C1092" s="81">
        <v>6120</v>
      </c>
      <c r="D1092" s="81">
        <v>1</v>
      </c>
      <c r="E1092" s="70">
        <v>1</v>
      </c>
      <c r="F1092" s="81" t="s">
        <v>260</v>
      </c>
      <c r="G1092" s="81" t="s">
        <v>246</v>
      </c>
      <c r="H1092" s="81">
        <v>1976</v>
      </c>
      <c r="I1092" s="81" t="s">
        <v>247</v>
      </c>
    </row>
    <row r="1093" spans="1:9" x14ac:dyDescent="0.3">
      <c r="A1093" s="23">
        <v>3.74</v>
      </c>
      <c r="B1093" s="23">
        <v>13.66</v>
      </c>
      <c r="C1093" s="81">
        <v>6120</v>
      </c>
      <c r="D1093" s="81">
        <v>1</v>
      </c>
      <c r="E1093" s="70">
        <v>1</v>
      </c>
      <c r="F1093" s="81" t="s">
        <v>260</v>
      </c>
      <c r="G1093" s="81" t="s">
        <v>246</v>
      </c>
      <c r="H1093" s="81">
        <v>1976</v>
      </c>
      <c r="I1093" s="81" t="s">
        <v>247</v>
      </c>
    </row>
    <row r="1094" spans="1:9" x14ac:dyDescent="0.3">
      <c r="A1094" s="23">
        <v>3.74</v>
      </c>
      <c r="B1094" s="23">
        <v>15.62</v>
      </c>
      <c r="C1094" s="81">
        <v>6120</v>
      </c>
      <c r="D1094" s="81">
        <v>1</v>
      </c>
      <c r="E1094" s="70">
        <v>1</v>
      </c>
      <c r="F1094" s="81" t="s">
        <v>260</v>
      </c>
      <c r="G1094" s="81" t="s">
        <v>246</v>
      </c>
      <c r="H1094" s="81">
        <v>1976</v>
      </c>
      <c r="I1094" s="81" t="s">
        <v>247</v>
      </c>
    </row>
    <row r="1095" spans="1:9" x14ac:dyDescent="0.3">
      <c r="A1095" s="23">
        <v>3.77</v>
      </c>
      <c r="B1095" s="23">
        <v>7.66</v>
      </c>
      <c r="C1095" s="81">
        <v>6120</v>
      </c>
      <c r="D1095" s="81">
        <v>1</v>
      </c>
      <c r="E1095" s="70">
        <v>1</v>
      </c>
      <c r="F1095" s="81" t="s">
        <v>260</v>
      </c>
      <c r="G1095" s="81" t="s">
        <v>246</v>
      </c>
      <c r="H1095" s="81">
        <v>1976</v>
      </c>
      <c r="I1095" s="81" t="s">
        <v>247</v>
      </c>
    </row>
    <row r="1096" spans="1:9" x14ac:dyDescent="0.3">
      <c r="A1096" s="23">
        <v>3.8</v>
      </c>
      <c r="B1096" s="23">
        <v>11.66</v>
      </c>
      <c r="C1096" s="81">
        <v>6120</v>
      </c>
      <c r="D1096" s="81">
        <v>1</v>
      </c>
      <c r="E1096" s="70">
        <v>1</v>
      </c>
      <c r="F1096" s="81" t="s">
        <v>260</v>
      </c>
      <c r="G1096" s="81" t="s">
        <v>246</v>
      </c>
      <c r="H1096" s="81">
        <v>1976</v>
      </c>
      <c r="I1096" s="81" t="s">
        <v>247</v>
      </c>
    </row>
    <row r="1097" spans="1:9" x14ac:dyDescent="0.3">
      <c r="A1097" s="23">
        <v>3.83</v>
      </c>
      <c r="B1097" s="23">
        <v>10.67</v>
      </c>
      <c r="C1097" s="81">
        <v>6120</v>
      </c>
      <c r="D1097" s="81">
        <v>1</v>
      </c>
      <c r="E1097" s="70">
        <v>1</v>
      </c>
      <c r="F1097" s="81" t="s">
        <v>260</v>
      </c>
      <c r="G1097" s="81" t="s">
        <v>246</v>
      </c>
      <c r="H1097" s="81">
        <v>1976</v>
      </c>
      <c r="I1097" s="81" t="s">
        <v>247</v>
      </c>
    </row>
    <row r="1098" spans="1:9" x14ac:dyDescent="0.3">
      <c r="A1098" s="23">
        <v>3.83</v>
      </c>
      <c r="B1098" s="23">
        <v>10.67</v>
      </c>
      <c r="C1098" s="81">
        <v>6120</v>
      </c>
      <c r="D1098" s="81">
        <v>1</v>
      </c>
      <c r="E1098" s="70">
        <v>1</v>
      </c>
      <c r="F1098" s="81" t="s">
        <v>260</v>
      </c>
      <c r="G1098" s="81" t="s">
        <v>246</v>
      </c>
      <c r="H1098" s="81">
        <v>1976</v>
      </c>
      <c r="I1098" s="81" t="s">
        <v>247</v>
      </c>
    </row>
    <row r="1099" spans="1:9" x14ac:dyDescent="0.3">
      <c r="A1099" s="23">
        <v>3.86</v>
      </c>
      <c r="B1099" s="23">
        <v>12.67</v>
      </c>
      <c r="C1099" s="81">
        <v>6120</v>
      </c>
      <c r="D1099" s="81">
        <v>1</v>
      </c>
      <c r="E1099" s="70">
        <v>1</v>
      </c>
      <c r="F1099" s="81" t="s">
        <v>260</v>
      </c>
      <c r="G1099" s="81" t="s">
        <v>246</v>
      </c>
      <c r="H1099" s="81">
        <v>1976</v>
      </c>
      <c r="I1099" s="81" t="s">
        <v>247</v>
      </c>
    </row>
    <row r="1100" spans="1:9" x14ac:dyDescent="0.3">
      <c r="A1100" s="23">
        <v>3.86</v>
      </c>
      <c r="B1100" s="23">
        <v>12.67</v>
      </c>
      <c r="C1100" s="81">
        <v>6120</v>
      </c>
      <c r="D1100" s="81">
        <v>1</v>
      </c>
      <c r="E1100" s="70">
        <v>1</v>
      </c>
      <c r="F1100" s="81" t="s">
        <v>260</v>
      </c>
      <c r="G1100" s="81" t="s">
        <v>246</v>
      </c>
      <c r="H1100" s="81">
        <v>1976</v>
      </c>
      <c r="I1100" s="81" t="s">
        <v>247</v>
      </c>
    </row>
    <row r="1101" spans="1:9" x14ac:dyDescent="0.3">
      <c r="A1101" s="23">
        <v>4.6500000000000004</v>
      </c>
      <c r="B1101" s="23">
        <v>9.5500000000000007</v>
      </c>
      <c r="C1101" s="81">
        <v>6120</v>
      </c>
      <c r="D1101" s="81">
        <v>1</v>
      </c>
      <c r="E1101" s="70">
        <v>1</v>
      </c>
      <c r="F1101" s="81" t="s">
        <v>260</v>
      </c>
      <c r="G1101" s="81" t="s">
        <v>246</v>
      </c>
      <c r="H1101" s="81">
        <v>1976</v>
      </c>
      <c r="I1101" s="81" t="s">
        <v>247</v>
      </c>
    </row>
    <row r="1102" spans="1:9" x14ac:dyDescent="0.3">
      <c r="A1102" s="23">
        <v>4.6500000000000004</v>
      </c>
      <c r="B1102" s="23">
        <v>11.63</v>
      </c>
      <c r="C1102" s="81">
        <v>6120</v>
      </c>
      <c r="D1102" s="81">
        <v>1</v>
      </c>
      <c r="E1102" s="70">
        <v>1</v>
      </c>
      <c r="F1102" s="81" t="s">
        <v>260</v>
      </c>
      <c r="G1102" s="81" t="s">
        <v>246</v>
      </c>
      <c r="H1102" s="81">
        <v>1976</v>
      </c>
      <c r="I1102" s="81" t="s">
        <v>247</v>
      </c>
    </row>
    <row r="1103" spans="1:9" x14ac:dyDescent="0.3">
      <c r="A1103" s="23">
        <v>4.68</v>
      </c>
      <c r="B1103" s="23">
        <v>7.63</v>
      </c>
      <c r="C1103" s="81">
        <v>6120</v>
      </c>
      <c r="D1103" s="81">
        <v>1</v>
      </c>
      <c r="E1103" s="70">
        <v>1</v>
      </c>
      <c r="F1103" s="81" t="s">
        <v>260</v>
      </c>
      <c r="G1103" s="81" t="s">
        <v>246</v>
      </c>
      <c r="H1103" s="81">
        <v>1976</v>
      </c>
      <c r="I1103" s="81" t="s">
        <v>247</v>
      </c>
    </row>
    <row r="1104" spans="1:9" x14ac:dyDescent="0.3">
      <c r="A1104" s="23">
        <v>4.68</v>
      </c>
      <c r="B1104" s="23">
        <v>14.61</v>
      </c>
      <c r="C1104" s="81">
        <v>6120</v>
      </c>
      <c r="D1104" s="81">
        <v>1</v>
      </c>
      <c r="E1104" s="70">
        <v>1</v>
      </c>
      <c r="F1104" s="81" t="s">
        <v>260</v>
      </c>
      <c r="G1104" s="81" t="s">
        <v>246</v>
      </c>
      <c r="H1104" s="81">
        <v>1976</v>
      </c>
      <c r="I1104" s="81" t="s">
        <v>247</v>
      </c>
    </row>
    <row r="1105" spans="1:9" x14ac:dyDescent="0.3">
      <c r="A1105" s="23">
        <v>4.68</v>
      </c>
      <c r="B1105" s="23">
        <v>16.61</v>
      </c>
      <c r="C1105" s="81">
        <v>6120</v>
      </c>
      <c r="D1105" s="81">
        <v>1</v>
      </c>
      <c r="E1105" s="70">
        <v>1</v>
      </c>
      <c r="F1105" s="81" t="s">
        <v>260</v>
      </c>
      <c r="G1105" s="81" t="s">
        <v>246</v>
      </c>
      <c r="H1105" s="81">
        <v>1976</v>
      </c>
      <c r="I1105" s="81" t="s">
        <v>247</v>
      </c>
    </row>
    <row r="1106" spans="1:9" x14ac:dyDescent="0.3">
      <c r="A1106" s="23">
        <v>4.7699999999999996</v>
      </c>
      <c r="B1106" s="23">
        <v>14.61</v>
      </c>
      <c r="C1106" s="81">
        <v>6120</v>
      </c>
      <c r="D1106" s="81">
        <v>1</v>
      </c>
      <c r="E1106" s="70">
        <v>1</v>
      </c>
      <c r="F1106" s="81" t="s">
        <v>260</v>
      </c>
      <c r="G1106" s="81" t="s">
        <v>246</v>
      </c>
      <c r="H1106" s="81">
        <v>1976</v>
      </c>
      <c r="I1106" s="81" t="s">
        <v>247</v>
      </c>
    </row>
    <row r="1107" spans="1:9" x14ac:dyDescent="0.3">
      <c r="A1107" s="23">
        <v>5.58</v>
      </c>
      <c r="B1107" s="23">
        <v>7.81</v>
      </c>
      <c r="C1107" s="81">
        <v>6120</v>
      </c>
      <c r="D1107" s="81">
        <v>1</v>
      </c>
      <c r="E1107" s="70">
        <v>1</v>
      </c>
      <c r="F1107" s="81" t="s">
        <v>260</v>
      </c>
      <c r="G1107" s="81" t="s">
        <v>246</v>
      </c>
      <c r="H1107" s="81">
        <v>1976</v>
      </c>
      <c r="I1107" s="81" t="s">
        <v>247</v>
      </c>
    </row>
    <row r="1108" spans="1:9" x14ac:dyDescent="0.3">
      <c r="A1108" s="23">
        <v>5.64</v>
      </c>
      <c r="B1108" s="23">
        <v>7.72</v>
      </c>
      <c r="C1108" s="81">
        <v>6120</v>
      </c>
      <c r="D1108" s="81">
        <v>1</v>
      </c>
      <c r="E1108" s="70">
        <v>1</v>
      </c>
      <c r="F1108" s="81" t="s">
        <v>260</v>
      </c>
      <c r="G1108" s="81" t="s">
        <v>246</v>
      </c>
      <c r="H1108" s="81">
        <v>1976</v>
      </c>
      <c r="I1108" s="81" t="s">
        <v>247</v>
      </c>
    </row>
    <row r="1109" spans="1:9" x14ac:dyDescent="0.3">
      <c r="A1109" s="23">
        <v>5.64</v>
      </c>
      <c r="B1109" s="23">
        <v>7.72</v>
      </c>
      <c r="C1109" s="81">
        <v>6120</v>
      </c>
      <c r="D1109" s="81">
        <v>1</v>
      </c>
      <c r="E1109" s="70">
        <v>1</v>
      </c>
      <c r="F1109" s="81" t="s">
        <v>260</v>
      </c>
      <c r="G1109" s="81" t="s">
        <v>246</v>
      </c>
      <c r="H1109" s="81">
        <v>1976</v>
      </c>
      <c r="I1109" s="81" t="s">
        <v>247</v>
      </c>
    </row>
    <row r="1110" spans="1:9" x14ac:dyDescent="0.3">
      <c r="A1110" s="23">
        <v>5.64</v>
      </c>
      <c r="B1110" s="23">
        <v>15.57</v>
      </c>
      <c r="C1110" s="81">
        <v>6120</v>
      </c>
      <c r="D1110" s="81">
        <v>1</v>
      </c>
      <c r="E1110" s="70">
        <v>1</v>
      </c>
      <c r="F1110" s="81" t="s">
        <v>260</v>
      </c>
      <c r="G1110" s="81" t="s">
        <v>246</v>
      </c>
      <c r="H1110" s="81">
        <v>1976</v>
      </c>
      <c r="I1110" s="81" t="s">
        <v>247</v>
      </c>
    </row>
    <row r="1111" spans="1:9" x14ac:dyDescent="0.3">
      <c r="A1111" s="23">
        <v>5.67</v>
      </c>
      <c r="B1111" s="23">
        <v>10.62</v>
      </c>
      <c r="C1111" s="81">
        <v>6120</v>
      </c>
      <c r="D1111" s="81">
        <v>1</v>
      </c>
      <c r="E1111" s="70">
        <v>1</v>
      </c>
      <c r="F1111" s="81" t="s">
        <v>260</v>
      </c>
      <c r="G1111" s="81" t="s">
        <v>246</v>
      </c>
      <c r="H1111" s="81">
        <v>1976</v>
      </c>
      <c r="I1111" s="81" t="s">
        <v>247</v>
      </c>
    </row>
    <row r="1112" spans="1:9" x14ac:dyDescent="0.3">
      <c r="A1112" s="23">
        <v>5.67</v>
      </c>
      <c r="B1112" s="23">
        <v>12.61</v>
      </c>
      <c r="C1112" s="81">
        <v>6120</v>
      </c>
      <c r="D1112" s="81">
        <v>1</v>
      </c>
      <c r="E1112" s="70">
        <v>1</v>
      </c>
      <c r="F1112" s="81" t="s">
        <v>260</v>
      </c>
      <c r="G1112" s="81" t="s">
        <v>246</v>
      </c>
      <c r="H1112" s="81">
        <v>1976</v>
      </c>
      <c r="I1112" s="81" t="s">
        <v>247</v>
      </c>
    </row>
    <row r="1113" spans="1:9" x14ac:dyDescent="0.3">
      <c r="A1113" s="23">
        <v>5.7</v>
      </c>
      <c r="B1113" s="23">
        <v>5.58</v>
      </c>
      <c r="C1113" s="81">
        <v>6120</v>
      </c>
      <c r="D1113" s="81">
        <v>1</v>
      </c>
      <c r="E1113" s="70">
        <v>1</v>
      </c>
      <c r="F1113" s="81" t="s">
        <v>260</v>
      </c>
      <c r="G1113" s="81" t="s">
        <v>246</v>
      </c>
      <c r="H1113" s="81">
        <v>1976</v>
      </c>
      <c r="I1113" s="81" t="s">
        <v>247</v>
      </c>
    </row>
    <row r="1114" spans="1:9" x14ac:dyDescent="0.3">
      <c r="A1114" s="23">
        <v>5.7</v>
      </c>
      <c r="B1114" s="23">
        <v>7.72</v>
      </c>
      <c r="C1114" s="81">
        <v>6120</v>
      </c>
      <c r="D1114" s="81">
        <v>1</v>
      </c>
      <c r="E1114" s="70">
        <v>1</v>
      </c>
      <c r="F1114" s="81" t="s">
        <v>260</v>
      </c>
      <c r="G1114" s="81" t="s">
        <v>246</v>
      </c>
      <c r="H1114" s="81">
        <v>1976</v>
      </c>
      <c r="I1114" s="81" t="s">
        <v>247</v>
      </c>
    </row>
    <row r="1115" spans="1:9" x14ac:dyDescent="0.3">
      <c r="A1115" s="23">
        <v>5.7</v>
      </c>
      <c r="B1115" s="23">
        <v>7.72</v>
      </c>
      <c r="C1115" s="81">
        <v>6120</v>
      </c>
      <c r="D1115" s="81">
        <v>1</v>
      </c>
      <c r="E1115" s="70">
        <v>1</v>
      </c>
      <c r="F1115" s="81" t="s">
        <v>260</v>
      </c>
      <c r="G1115" s="81" t="s">
        <v>246</v>
      </c>
      <c r="H1115" s="81">
        <v>1976</v>
      </c>
      <c r="I1115" s="81" t="s">
        <v>247</v>
      </c>
    </row>
    <row r="1116" spans="1:9" x14ac:dyDescent="0.3">
      <c r="A1116" s="23">
        <v>5.7</v>
      </c>
      <c r="B1116" s="23">
        <v>11.57</v>
      </c>
      <c r="C1116" s="81">
        <v>6120</v>
      </c>
      <c r="D1116" s="81">
        <v>1</v>
      </c>
      <c r="E1116" s="70">
        <v>1</v>
      </c>
      <c r="F1116" s="81" t="s">
        <v>260</v>
      </c>
      <c r="G1116" s="81" t="s">
        <v>246</v>
      </c>
      <c r="H1116" s="81">
        <v>1976</v>
      </c>
      <c r="I1116" s="81" t="s">
        <v>247</v>
      </c>
    </row>
    <row r="1117" spans="1:9" x14ac:dyDescent="0.3">
      <c r="A1117" s="23">
        <v>5.7</v>
      </c>
      <c r="B1117" s="23">
        <v>11.75</v>
      </c>
      <c r="C1117" s="81">
        <v>6120</v>
      </c>
      <c r="D1117" s="81">
        <v>1</v>
      </c>
      <c r="E1117" s="70">
        <v>1</v>
      </c>
      <c r="F1117" s="81" t="s">
        <v>260</v>
      </c>
      <c r="G1117" s="81" t="s">
        <v>246</v>
      </c>
      <c r="H1117" s="81">
        <v>1976</v>
      </c>
      <c r="I1117" s="81" t="s">
        <v>247</v>
      </c>
    </row>
    <row r="1118" spans="1:9" x14ac:dyDescent="0.3">
      <c r="A1118" s="23">
        <v>5.7</v>
      </c>
      <c r="B1118" s="23">
        <v>13.69</v>
      </c>
      <c r="C1118" s="81">
        <v>6120</v>
      </c>
      <c r="D1118" s="81">
        <v>1</v>
      </c>
      <c r="E1118" s="70">
        <v>1</v>
      </c>
      <c r="F1118" s="81" t="s">
        <v>260</v>
      </c>
      <c r="G1118" s="81" t="s">
        <v>246</v>
      </c>
      <c r="H1118" s="81">
        <v>1976</v>
      </c>
      <c r="I1118" s="81" t="s">
        <v>247</v>
      </c>
    </row>
    <row r="1119" spans="1:9" x14ac:dyDescent="0.3">
      <c r="A1119" s="23">
        <v>5.7</v>
      </c>
      <c r="B1119" s="23">
        <v>13.74</v>
      </c>
      <c r="C1119" s="81">
        <v>6120</v>
      </c>
      <c r="D1119" s="81">
        <v>1</v>
      </c>
      <c r="E1119" s="70">
        <v>1</v>
      </c>
      <c r="F1119" s="81" t="s">
        <v>260</v>
      </c>
      <c r="G1119" s="81" t="s">
        <v>246</v>
      </c>
      <c r="H1119" s="81">
        <v>1976</v>
      </c>
      <c r="I1119" s="81" t="s">
        <v>247</v>
      </c>
    </row>
    <row r="1120" spans="1:9" x14ac:dyDescent="0.3">
      <c r="A1120" s="23">
        <v>5.79</v>
      </c>
      <c r="B1120" s="23">
        <v>11.69</v>
      </c>
      <c r="C1120" s="81">
        <v>6120</v>
      </c>
      <c r="D1120" s="81">
        <v>1</v>
      </c>
      <c r="E1120" s="70">
        <v>1</v>
      </c>
      <c r="F1120" s="81" t="s">
        <v>260</v>
      </c>
      <c r="G1120" s="81" t="s">
        <v>246</v>
      </c>
      <c r="H1120" s="81">
        <v>1976</v>
      </c>
      <c r="I1120" s="81" t="s">
        <v>247</v>
      </c>
    </row>
    <row r="1121" spans="1:9" x14ac:dyDescent="0.3">
      <c r="A1121" s="23">
        <v>5.82</v>
      </c>
      <c r="B1121" s="23">
        <v>13.69</v>
      </c>
      <c r="C1121" s="81">
        <v>6120</v>
      </c>
      <c r="D1121" s="81">
        <v>1</v>
      </c>
      <c r="E1121" s="70">
        <v>1</v>
      </c>
      <c r="F1121" s="81" t="s">
        <v>260</v>
      </c>
      <c r="G1121" s="81" t="s">
        <v>246</v>
      </c>
      <c r="H1121" s="81">
        <v>1976</v>
      </c>
      <c r="I1121" s="81" t="s">
        <v>247</v>
      </c>
    </row>
    <row r="1122" spans="1:9" x14ac:dyDescent="0.3">
      <c r="A1122" s="23">
        <v>5.85</v>
      </c>
      <c r="B1122" s="23">
        <v>12.61</v>
      </c>
      <c r="C1122" s="81">
        <v>6120</v>
      </c>
      <c r="D1122" s="81">
        <v>1</v>
      </c>
      <c r="E1122" s="70">
        <v>1</v>
      </c>
      <c r="F1122" s="81" t="s">
        <v>260</v>
      </c>
      <c r="G1122" s="81" t="s">
        <v>246</v>
      </c>
      <c r="H1122" s="81">
        <v>1976</v>
      </c>
      <c r="I1122" s="81" t="s">
        <v>247</v>
      </c>
    </row>
    <row r="1123" spans="1:9" x14ac:dyDescent="0.3">
      <c r="A1123" s="23">
        <v>6.61</v>
      </c>
      <c r="B1123" s="23">
        <v>11.63</v>
      </c>
      <c r="C1123" s="81">
        <v>6120</v>
      </c>
      <c r="D1123" s="81">
        <v>1</v>
      </c>
      <c r="E1123" s="70">
        <v>1</v>
      </c>
      <c r="F1123" s="81" t="s">
        <v>260</v>
      </c>
      <c r="G1123" s="81" t="s">
        <v>246</v>
      </c>
      <c r="H1123" s="81">
        <v>1976</v>
      </c>
      <c r="I1123" s="81" t="s">
        <v>247</v>
      </c>
    </row>
    <row r="1124" spans="1:9" x14ac:dyDescent="0.3">
      <c r="A1124" s="23">
        <v>6.64</v>
      </c>
      <c r="B1124" s="23">
        <v>7.66</v>
      </c>
      <c r="C1124" s="81">
        <v>6120</v>
      </c>
      <c r="D1124" s="81">
        <v>1</v>
      </c>
      <c r="E1124" s="70">
        <v>1</v>
      </c>
      <c r="F1124" s="81" t="s">
        <v>260</v>
      </c>
      <c r="G1124" s="81" t="s">
        <v>246</v>
      </c>
      <c r="H1124" s="81">
        <v>1976</v>
      </c>
      <c r="I1124" s="81" t="s">
        <v>247</v>
      </c>
    </row>
    <row r="1125" spans="1:9" x14ac:dyDescent="0.3">
      <c r="A1125" s="23">
        <v>6.64</v>
      </c>
      <c r="B1125" s="23">
        <v>8.56</v>
      </c>
      <c r="C1125" s="81">
        <v>6120</v>
      </c>
      <c r="D1125" s="81">
        <v>1</v>
      </c>
      <c r="E1125" s="70">
        <v>1</v>
      </c>
      <c r="F1125" s="81" t="s">
        <v>260</v>
      </c>
      <c r="G1125" s="81" t="s">
        <v>246</v>
      </c>
      <c r="H1125" s="81">
        <v>1976</v>
      </c>
      <c r="I1125" s="81" t="s">
        <v>247</v>
      </c>
    </row>
    <row r="1126" spans="1:9" x14ac:dyDescent="0.3">
      <c r="A1126" s="23">
        <v>6.7</v>
      </c>
      <c r="B1126" s="23">
        <v>10.62</v>
      </c>
      <c r="C1126" s="81">
        <v>6120</v>
      </c>
      <c r="D1126" s="81">
        <v>1</v>
      </c>
      <c r="E1126" s="70">
        <v>1</v>
      </c>
      <c r="F1126" s="81" t="s">
        <v>260</v>
      </c>
      <c r="G1126" s="81" t="s">
        <v>246</v>
      </c>
      <c r="H1126" s="81">
        <v>1976</v>
      </c>
      <c r="I1126" s="81" t="s">
        <v>247</v>
      </c>
    </row>
    <row r="1127" spans="1:9" x14ac:dyDescent="0.3">
      <c r="A1127" s="23">
        <v>6.7</v>
      </c>
      <c r="B1127" s="23">
        <v>13.57</v>
      </c>
      <c r="C1127" s="81">
        <v>6120</v>
      </c>
      <c r="D1127" s="81">
        <v>1</v>
      </c>
      <c r="E1127" s="70">
        <v>1</v>
      </c>
      <c r="F1127" s="81" t="s">
        <v>260</v>
      </c>
      <c r="G1127" s="81" t="s">
        <v>246</v>
      </c>
      <c r="H1127" s="81">
        <v>1976</v>
      </c>
      <c r="I1127" s="81" t="s">
        <v>247</v>
      </c>
    </row>
    <row r="1128" spans="1:9" x14ac:dyDescent="0.3">
      <c r="A1128" s="23">
        <v>6.7</v>
      </c>
      <c r="B1128" s="23">
        <v>14.55</v>
      </c>
      <c r="C1128" s="81">
        <v>6120</v>
      </c>
      <c r="D1128" s="81">
        <v>1</v>
      </c>
      <c r="E1128" s="70">
        <v>1</v>
      </c>
      <c r="F1128" s="81" t="s">
        <v>260</v>
      </c>
      <c r="G1128" s="81" t="s">
        <v>246</v>
      </c>
      <c r="H1128" s="81">
        <v>1976</v>
      </c>
      <c r="I1128" s="81" t="s">
        <v>247</v>
      </c>
    </row>
    <row r="1129" spans="1:9" x14ac:dyDescent="0.3">
      <c r="A1129" s="23">
        <v>6.73</v>
      </c>
      <c r="B1129" s="23">
        <v>9.6300000000000008</v>
      </c>
      <c r="C1129" s="81">
        <v>6120</v>
      </c>
      <c r="D1129" s="81">
        <v>1</v>
      </c>
      <c r="E1129" s="70">
        <v>1</v>
      </c>
      <c r="F1129" s="81" t="s">
        <v>260</v>
      </c>
      <c r="G1129" s="81" t="s">
        <v>246</v>
      </c>
      <c r="H1129" s="81">
        <v>1976</v>
      </c>
      <c r="I1129" s="81" t="s">
        <v>247</v>
      </c>
    </row>
    <row r="1130" spans="1:9" x14ac:dyDescent="0.3">
      <c r="A1130" s="23">
        <v>6.76</v>
      </c>
      <c r="B1130" s="23">
        <v>11.63</v>
      </c>
      <c r="C1130" s="81">
        <v>6120</v>
      </c>
      <c r="D1130" s="81">
        <v>1</v>
      </c>
      <c r="E1130" s="70">
        <v>1</v>
      </c>
      <c r="F1130" s="81" t="s">
        <v>260</v>
      </c>
      <c r="G1130" s="81" t="s">
        <v>246</v>
      </c>
      <c r="H1130" s="81">
        <v>1976</v>
      </c>
      <c r="I1130" s="81" t="s">
        <v>247</v>
      </c>
    </row>
    <row r="1131" spans="1:9" x14ac:dyDescent="0.3">
      <c r="A1131" s="23">
        <v>7.66</v>
      </c>
      <c r="B1131" s="23">
        <v>11.8</v>
      </c>
      <c r="C1131" s="81">
        <v>6120</v>
      </c>
      <c r="D1131" s="81">
        <v>1</v>
      </c>
      <c r="E1131" s="70">
        <v>1</v>
      </c>
      <c r="F1131" s="81" t="s">
        <v>260</v>
      </c>
      <c r="G1131" s="81" t="s">
        <v>246</v>
      </c>
      <c r="H1131" s="81">
        <v>1976</v>
      </c>
      <c r="I1131" s="81" t="s">
        <v>247</v>
      </c>
    </row>
    <row r="1132" spans="1:9" x14ac:dyDescent="0.3">
      <c r="A1132" s="23">
        <v>7.69</v>
      </c>
      <c r="B1132" s="23">
        <v>7.72</v>
      </c>
      <c r="C1132" s="81">
        <v>6120</v>
      </c>
      <c r="D1132" s="81">
        <v>1</v>
      </c>
      <c r="E1132" s="70">
        <v>1</v>
      </c>
      <c r="F1132" s="81" t="s">
        <v>260</v>
      </c>
      <c r="G1132" s="81" t="s">
        <v>246</v>
      </c>
      <c r="H1132" s="81">
        <v>1976</v>
      </c>
      <c r="I1132" s="81" t="s">
        <v>247</v>
      </c>
    </row>
    <row r="1133" spans="1:9" x14ac:dyDescent="0.3">
      <c r="A1133" s="23">
        <v>7.69</v>
      </c>
      <c r="B1133" s="23">
        <v>8.6199999999999992</v>
      </c>
      <c r="C1133" s="81">
        <v>6120</v>
      </c>
      <c r="D1133" s="81">
        <v>1</v>
      </c>
      <c r="E1133" s="70">
        <v>1</v>
      </c>
      <c r="F1133" s="81" t="s">
        <v>260</v>
      </c>
      <c r="G1133" s="81" t="s">
        <v>246</v>
      </c>
      <c r="H1133" s="81">
        <v>1976</v>
      </c>
      <c r="I1133" s="81" t="s">
        <v>247</v>
      </c>
    </row>
    <row r="1134" spans="1:9" x14ac:dyDescent="0.3">
      <c r="A1134" s="23">
        <v>7.69</v>
      </c>
      <c r="B1134" s="23">
        <v>8.73</v>
      </c>
      <c r="C1134" s="81">
        <v>6120</v>
      </c>
      <c r="D1134" s="81">
        <v>1</v>
      </c>
      <c r="E1134" s="70">
        <v>1</v>
      </c>
      <c r="F1134" s="81" t="s">
        <v>260</v>
      </c>
      <c r="G1134" s="81" t="s">
        <v>246</v>
      </c>
      <c r="H1134" s="81">
        <v>1976</v>
      </c>
      <c r="I1134" s="81" t="s">
        <v>247</v>
      </c>
    </row>
    <row r="1135" spans="1:9" x14ac:dyDescent="0.3">
      <c r="A1135" s="23">
        <v>7.69</v>
      </c>
      <c r="B1135" s="23">
        <v>11.69</v>
      </c>
      <c r="C1135" s="81">
        <v>6120</v>
      </c>
      <c r="D1135" s="81">
        <v>1</v>
      </c>
      <c r="E1135" s="70">
        <v>1</v>
      </c>
      <c r="F1135" s="81" t="s">
        <v>260</v>
      </c>
      <c r="G1135" s="81" t="s">
        <v>246</v>
      </c>
      <c r="H1135" s="81">
        <v>1976</v>
      </c>
      <c r="I1135" s="81" t="s">
        <v>247</v>
      </c>
    </row>
    <row r="1136" spans="1:9" x14ac:dyDescent="0.3">
      <c r="A1136" s="23">
        <v>7.69</v>
      </c>
      <c r="B1136" s="23">
        <v>13.54</v>
      </c>
      <c r="C1136" s="81">
        <v>6120</v>
      </c>
      <c r="D1136" s="81">
        <v>1</v>
      </c>
      <c r="E1136" s="70">
        <v>1</v>
      </c>
      <c r="F1136" s="81" t="s">
        <v>260</v>
      </c>
      <c r="G1136" s="81" t="s">
        <v>246</v>
      </c>
      <c r="H1136" s="81">
        <v>1976</v>
      </c>
      <c r="I1136" s="81" t="s">
        <v>247</v>
      </c>
    </row>
    <row r="1137" spans="1:9" x14ac:dyDescent="0.3">
      <c r="A1137" s="23">
        <v>7.72</v>
      </c>
      <c r="B1137" s="23">
        <v>9.66</v>
      </c>
      <c r="C1137" s="81">
        <v>6120</v>
      </c>
      <c r="D1137" s="81">
        <v>1</v>
      </c>
      <c r="E1137" s="70">
        <v>1</v>
      </c>
      <c r="F1137" s="81" t="s">
        <v>260</v>
      </c>
      <c r="G1137" s="81" t="s">
        <v>246</v>
      </c>
      <c r="H1137" s="81">
        <v>1976</v>
      </c>
      <c r="I1137" s="81" t="s">
        <v>247</v>
      </c>
    </row>
    <row r="1138" spans="1:9" x14ac:dyDescent="0.3">
      <c r="A1138" s="23">
        <v>7.72</v>
      </c>
      <c r="B1138" s="23">
        <v>14.64</v>
      </c>
      <c r="C1138" s="81">
        <v>6120</v>
      </c>
      <c r="D1138" s="81">
        <v>1</v>
      </c>
      <c r="E1138" s="70">
        <v>1</v>
      </c>
      <c r="F1138" s="81" t="s">
        <v>260</v>
      </c>
      <c r="G1138" s="81" t="s">
        <v>246</v>
      </c>
      <c r="H1138" s="81">
        <v>1976</v>
      </c>
      <c r="I1138" s="81" t="s">
        <v>247</v>
      </c>
    </row>
    <row r="1139" spans="1:9" x14ac:dyDescent="0.3">
      <c r="A1139" s="23">
        <v>7.75</v>
      </c>
      <c r="B1139" s="23">
        <v>9.6300000000000008</v>
      </c>
      <c r="C1139" s="81">
        <v>6120</v>
      </c>
      <c r="D1139" s="81">
        <v>1</v>
      </c>
      <c r="E1139" s="70">
        <v>1</v>
      </c>
      <c r="F1139" s="81" t="s">
        <v>260</v>
      </c>
      <c r="G1139" s="81" t="s">
        <v>246</v>
      </c>
      <c r="H1139" s="81">
        <v>1976</v>
      </c>
      <c r="I1139" s="81" t="s">
        <v>247</v>
      </c>
    </row>
    <row r="1140" spans="1:9" x14ac:dyDescent="0.3">
      <c r="A1140" s="23">
        <v>7.75</v>
      </c>
      <c r="B1140" s="23">
        <v>11.66</v>
      </c>
      <c r="C1140" s="81">
        <v>6120</v>
      </c>
      <c r="D1140" s="81">
        <v>1</v>
      </c>
      <c r="E1140" s="70">
        <v>1</v>
      </c>
      <c r="F1140" s="81" t="s">
        <v>260</v>
      </c>
      <c r="G1140" s="81" t="s">
        <v>246</v>
      </c>
      <c r="H1140" s="81">
        <v>1976</v>
      </c>
      <c r="I1140" s="81" t="s">
        <v>247</v>
      </c>
    </row>
    <row r="1141" spans="1:9" x14ac:dyDescent="0.3">
      <c r="A1141" s="23">
        <v>7.78</v>
      </c>
      <c r="B1141" s="23">
        <v>7.69</v>
      </c>
      <c r="C1141" s="81">
        <v>6120</v>
      </c>
      <c r="D1141" s="81">
        <v>1</v>
      </c>
      <c r="E1141" s="70">
        <v>1</v>
      </c>
      <c r="F1141" s="81" t="s">
        <v>260</v>
      </c>
      <c r="G1141" s="81" t="s">
        <v>246</v>
      </c>
      <c r="H1141" s="81">
        <v>1976</v>
      </c>
      <c r="I1141" s="81" t="s">
        <v>247</v>
      </c>
    </row>
    <row r="1142" spans="1:9" x14ac:dyDescent="0.3">
      <c r="A1142" s="23">
        <v>7.78</v>
      </c>
      <c r="B1142" s="23">
        <v>8.6199999999999992</v>
      </c>
      <c r="C1142" s="81">
        <v>6120</v>
      </c>
      <c r="D1142" s="81">
        <v>1</v>
      </c>
      <c r="E1142" s="70">
        <v>1</v>
      </c>
      <c r="F1142" s="81" t="s">
        <v>260</v>
      </c>
      <c r="G1142" s="81" t="s">
        <v>246</v>
      </c>
      <c r="H1142" s="81">
        <v>1976</v>
      </c>
      <c r="I1142" s="81" t="s">
        <v>247</v>
      </c>
    </row>
    <row r="1143" spans="1:9" x14ac:dyDescent="0.3">
      <c r="A1143" s="23">
        <v>8.66</v>
      </c>
      <c r="B1143" s="23">
        <v>9.69</v>
      </c>
      <c r="C1143" s="81">
        <v>6120</v>
      </c>
      <c r="D1143" s="81">
        <v>1</v>
      </c>
      <c r="E1143" s="70">
        <v>1</v>
      </c>
      <c r="F1143" s="81" t="s">
        <v>260</v>
      </c>
      <c r="G1143" s="81" t="s">
        <v>246</v>
      </c>
      <c r="H1143" s="81">
        <v>1976</v>
      </c>
      <c r="I1143" s="81" t="s">
        <v>247</v>
      </c>
    </row>
    <row r="1144" spans="1:9" x14ac:dyDescent="0.3">
      <c r="A1144" s="23">
        <v>8.66</v>
      </c>
      <c r="B1144" s="23">
        <v>9.69</v>
      </c>
      <c r="C1144" s="81">
        <v>6120</v>
      </c>
      <c r="D1144" s="81">
        <v>1</v>
      </c>
      <c r="E1144" s="70">
        <v>1</v>
      </c>
      <c r="F1144" s="81" t="s">
        <v>260</v>
      </c>
      <c r="G1144" s="81" t="s">
        <v>246</v>
      </c>
      <c r="H1144" s="81">
        <v>1976</v>
      </c>
      <c r="I1144" s="81" t="s">
        <v>247</v>
      </c>
    </row>
    <row r="1145" spans="1:9" x14ac:dyDescent="0.3">
      <c r="A1145" s="23">
        <v>8.66</v>
      </c>
      <c r="B1145" s="23">
        <v>9.7799999999999994</v>
      </c>
      <c r="C1145" s="81">
        <v>6120</v>
      </c>
      <c r="D1145" s="81">
        <v>1</v>
      </c>
      <c r="E1145" s="70">
        <v>1</v>
      </c>
      <c r="F1145" s="81" t="s">
        <v>260</v>
      </c>
      <c r="G1145" s="81" t="s">
        <v>246</v>
      </c>
      <c r="H1145" s="81">
        <v>1976</v>
      </c>
      <c r="I1145" s="81" t="s">
        <v>247</v>
      </c>
    </row>
    <row r="1146" spans="1:9" x14ac:dyDescent="0.3">
      <c r="A1146" s="23">
        <v>8.69</v>
      </c>
      <c r="B1146" s="23">
        <v>9.69</v>
      </c>
      <c r="C1146" s="81">
        <v>6120</v>
      </c>
      <c r="D1146" s="81">
        <v>1</v>
      </c>
      <c r="E1146" s="70">
        <v>1</v>
      </c>
      <c r="F1146" s="81" t="s">
        <v>260</v>
      </c>
      <c r="G1146" s="81" t="s">
        <v>246</v>
      </c>
      <c r="H1146" s="81">
        <v>1976</v>
      </c>
      <c r="I1146" s="81" t="s">
        <v>247</v>
      </c>
    </row>
    <row r="1147" spans="1:9" x14ac:dyDescent="0.3">
      <c r="A1147" s="23">
        <v>8.69</v>
      </c>
      <c r="B1147" s="23">
        <v>17.59</v>
      </c>
      <c r="C1147" s="81">
        <v>6120</v>
      </c>
      <c r="D1147" s="81">
        <v>1</v>
      </c>
      <c r="E1147" s="70">
        <v>1</v>
      </c>
      <c r="F1147" s="81" t="s">
        <v>260</v>
      </c>
      <c r="G1147" s="81" t="s">
        <v>246</v>
      </c>
      <c r="H1147" s="81">
        <v>1976</v>
      </c>
      <c r="I1147" s="81" t="s">
        <v>247</v>
      </c>
    </row>
    <row r="1148" spans="1:9" x14ac:dyDescent="0.3">
      <c r="A1148" s="23">
        <v>8.7200000000000006</v>
      </c>
      <c r="B1148" s="23">
        <v>8.7100000000000009</v>
      </c>
      <c r="C1148" s="81">
        <v>6120</v>
      </c>
      <c r="D1148" s="81">
        <v>1</v>
      </c>
      <c r="E1148" s="70">
        <v>1</v>
      </c>
      <c r="F1148" s="81" t="s">
        <v>260</v>
      </c>
      <c r="G1148" s="81" t="s">
        <v>246</v>
      </c>
      <c r="H1148" s="81">
        <v>1976</v>
      </c>
      <c r="I1148" s="81" t="s">
        <v>247</v>
      </c>
    </row>
    <row r="1149" spans="1:9" x14ac:dyDescent="0.3">
      <c r="A1149" s="23">
        <v>8.7200000000000006</v>
      </c>
      <c r="B1149" s="23">
        <v>8.82</v>
      </c>
      <c r="C1149" s="81">
        <v>6120</v>
      </c>
      <c r="D1149" s="81">
        <v>1</v>
      </c>
      <c r="E1149" s="70">
        <v>1</v>
      </c>
      <c r="F1149" s="81" t="s">
        <v>260</v>
      </c>
      <c r="G1149" s="81" t="s">
        <v>246</v>
      </c>
      <c r="H1149" s="81">
        <v>1976</v>
      </c>
      <c r="I1149" s="81" t="s">
        <v>247</v>
      </c>
    </row>
    <row r="1150" spans="1:9" x14ac:dyDescent="0.3">
      <c r="A1150" s="23">
        <v>8.7799999999999994</v>
      </c>
      <c r="B1150" s="23">
        <v>13.69</v>
      </c>
      <c r="C1150" s="81">
        <v>6120</v>
      </c>
      <c r="D1150" s="81">
        <v>1</v>
      </c>
      <c r="E1150" s="70">
        <v>1</v>
      </c>
      <c r="F1150" s="81" t="s">
        <v>260</v>
      </c>
      <c r="G1150" s="81" t="s">
        <v>246</v>
      </c>
      <c r="H1150" s="81">
        <v>1976</v>
      </c>
      <c r="I1150" s="81" t="s">
        <v>247</v>
      </c>
    </row>
    <row r="1151" spans="1:9" x14ac:dyDescent="0.3">
      <c r="A1151" s="23">
        <v>8.81</v>
      </c>
      <c r="B1151" s="23">
        <v>9.6</v>
      </c>
      <c r="C1151" s="81">
        <v>6120</v>
      </c>
      <c r="D1151" s="81">
        <v>1</v>
      </c>
      <c r="E1151" s="70">
        <v>1</v>
      </c>
      <c r="F1151" s="81" t="s">
        <v>260</v>
      </c>
      <c r="G1151" s="81" t="s">
        <v>246</v>
      </c>
      <c r="H1151" s="81">
        <v>1976</v>
      </c>
      <c r="I1151" s="81" t="s">
        <v>247</v>
      </c>
    </row>
    <row r="1152" spans="1:9" x14ac:dyDescent="0.3">
      <c r="A1152" s="23">
        <v>8.81</v>
      </c>
      <c r="B1152" s="23">
        <v>13.69</v>
      </c>
      <c r="C1152" s="81">
        <v>6120</v>
      </c>
      <c r="D1152" s="81">
        <v>1</v>
      </c>
      <c r="E1152" s="70">
        <v>1</v>
      </c>
      <c r="F1152" s="81" t="s">
        <v>260</v>
      </c>
      <c r="G1152" s="81" t="s">
        <v>246</v>
      </c>
      <c r="H1152" s="81">
        <v>1976</v>
      </c>
      <c r="I1152" s="81" t="s">
        <v>247</v>
      </c>
    </row>
    <row r="1153" spans="1:9" x14ac:dyDescent="0.3">
      <c r="A1153" s="23">
        <v>8.84</v>
      </c>
      <c r="B1153" s="23">
        <v>8.68</v>
      </c>
      <c r="C1153" s="81">
        <v>6120</v>
      </c>
      <c r="D1153" s="81">
        <v>1</v>
      </c>
      <c r="E1153" s="70">
        <v>1</v>
      </c>
      <c r="F1153" s="81" t="s">
        <v>260</v>
      </c>
      <c r="G1153" s="81" t="s">
        <v>246</v>
      </c>
      <c r="H1153" s="81">
        <v>1976</v>
      </c>
      <c r="I1153" s="81" t="s">
        <v>247</v>
      </c>
    </row>
    <row r="1154" spans="1:9" x14ac:dyDescent="0.3">
      <c r="A1154" s="23">
        <v>9.65</v>
      </c>
      <c r="B1154" s="23">
        <v>10.73</v>
      </c>
      <c r="C1154" s="81">
        <v>6120</v>
      </c>
      <c r="D1154" s="81">
        <v>1</v>
      </c>
      <c r="E1154" s="70">
        <v>1</v>
      </c>
      <c r="F1154" s="81" t="s">
        <v>260</v>
      </c>
      <c r="G1154" s="81" t="s">
        <v>246</v>
      </c>
      <c r="H1154" s="81">
        <v>1976</v>
      </c>
      <c r="I1154" s="81" t="s">
        <v>247</v>
      </c>
    </row>
    <row r="1155" spans="1:9" x14ac:dyDescent="0.3">
      <c r="A1155" s="23">
        <v>9.65</v>
      </c>
      <c r="B1155" s="23">
        <v>10.82</v>
      </c>
      <c r="C1155" s="81">
        <v>6120</v>
      </c>
      <c r="D1155" s="81">
        <v>1</v>
      </c>
      <c r="E1155" s="70">
        <v>1</v>
      </c>
      <c r="F1155" s="81" t="s">
        <v>260</v>
      </c>
      <c r="G1155" s="81" t="s">
        <v>246</v>
      </c>
      <c r="H1155" s="81">
        <v>1976</v>
      </c>
      <c r="I1155" s="81" t="s">
        <v>247</v>
      </c>
    </row>
    <row r="1156" spans="1:9" x14ac:dyDescent="0.3">
      <c r="A1156" s="23">
        <v>9.68</v>
      </c>
      <c r="B1156" s="23">
        <v>10.93</v>
      </c>
      <c r="C1156" s="81">
        <v>6120</v>
      </c>
      <c r="D1156" s="81">
        <v>1</v>
      </c>
      <c r="E1156" s="70">
        <v>1</v>
      </c>
      <c r="F1156" s="81" t="s">
        <v>260</v>
      </c>
      <c r="G1156" s="81" t="s">
        <v>246</v>
      </c>
      <c r="H1156" s="81">
        <v>1976</v>
      </c>
      <c r="I1156" s="81" t="s">
        <v>247</v>
      </c>
    </row>
    <row r="1157" spans="1:9" x14ac:dyDescent="0.3">
      <c r="A1157" s="23">
        <v>9.68</v>
      </c>
      <c r="B1157" s="23">
        <v>12.64</v>
      </c>
      <c r="C1157" s="81">
        <v>6120</v>
      </c>
      <c r="D1157" s="81">
        <v>1</v>
      </c>
      <c r="E1157" s="70">
        <v>1</v>
      </c>
      <c r="F1157" s="81" t="s">
        <v>260</v>
      </c>
      <c r="G1157" s="81" t="s">
        <v>246</v>
      </c>
      <c r="H1157" s="81">
        <v>1976</v>
      </c>
      <c r="I1157" s="81" t="s">
        <v>247</v>
      </c>
    </row>
    <row r="1158" spans="1:9" x14ac:dyDescent="0.3">
      <c r="A1158" s="23">
        <v>9.68</v>
      </c>
      <c r="B1158" s="23">
        <v>13.6</v>
      </c>
      <c r="C1158" s="81">
        <v>6120</v>
      </c>
      <c r="D1158" s="81">
        <v>1</v>
      </c>
      <c r="E1158" s="70">
        <v>1</v>
      </c>
      <c r="F1158" s="81" t="s">
        <v>260</v>
      </c>
      <c r="G1158" s="81" t="s">
        <v>246</v>
      </c>
      <c r="H1158" s="81">
        <v>1976</v>
      </c>
      <c r="I1158" s="81" t="s">
        <v>247</v>
      </c>
    </row>
    <row r="1159" spans="1:9" x14ac:dyDescent="0.3">
      <c r="A1159" s="23">
        <v>9.68</v>
      </c>
      <c r="B1159" s="23">
        <v>14.58</v>
      </c>
      <c r="C1159" s="81">
        <v>6120</v>
      </c>
      <c r="D1159" s="81">
        <v>1</v>
      </c>
      <c r="E1159" s="70">
        <v>1</v>
      </c>
      <c r="F1159" s="81" t="s">
        <v>260</v>
      </c>
      <c r="G1159" s="81" t="s">
        <v>246</v>
      </c>
      <c r="H1159" s="81">
        <v>1976</v>
      </c>
      <c r="I1159" s="81" t="s">
        <v>247</v>
      </c>
    </row>
    <row r="1160" spans="1:9" x14ac:dyDescent="0.3">
      <c r="A1160" s="23">
        <v>9.7100000000000009</v>
      </c>
      <c r="B1160" s="23">
        <v>11.83</v>
      </c>
      <c r="C1160" s="81">
        <v>6120</v>
      </c>
      <c r="D1160" s="81">
        <v>1</v>
      </c>
      <c r="E1160" s="70">
        <v>1</v>
      </c>
      <c r="F1160" s="81" t="s">
        <v>260</v>
      </c>
      <c r="G1160" s="81" t="s">
        <v>246</v>
      </c>
      <c r="H1160" s="81">
        <v>1976</v>
      </c>
      <c r="I1160" s="81" t="s">
        <v>247</v>
      </c>
    </row>
    <row r="1161" spans="1:9" x14ac:dyDescent="0.3">
      <c r="A1161" s="23">
        <v>9.7100000000000009</v>
      </c>
      <c r="B1161" s="23">
        <v>11.92</v>
      </c>
      <c r="C1161" s="81">
        <v>6120</v>
      </c>
      <c r="D1161" s="81">
        <v>1</v>
      </c>
      <c r="E1161" s="70">
        <v>1</v>
      </c>
      <c r="F1161" s="81" t="s">
        <v>260</v>
      </c>
      <c r="G1161" s="81" t="s">
        <v>246</v>
      </c>
      <c r="H1161" s="81">
        <v>1976</v>
      </c>
      <c r="I1161" s="81" t="s">
        <v>247</v>
      </c>
    </row>
    <row r="1162" spans="1:9" x14ac:dyDescent="0.3">
      <c r="A1162" s="23">
        <v>9.7100000000000009</v>
      </c>
      <c r="B1162" s="23">
        <v>12.01</v>
      </c>
      <c r="C1162" s="81">
        <v>6120</v>
      </c>
      <c r="D1162" s="81">
        <v>1</v>
      </c>
      <c r="E1162" s="70">
        <v>1</v>
      </c>
      <c r="F1162" s="81" t="s">
        <v>260</v>
      </c>
      <c r="G1162" s="81" t="s">
        <v>246</v>
      </c>
      <c r="H1162" s="81">
        <v>1976</v>
      </c>
      <c r="I1162" s="81" t="s">
        <v>247</v>
      </c>
    </row>
    <row r="1163" spans="1:9" x14ac:dyDescent="0.3">
      <c r="A1163" s="23">
        <v>9.74</v>
      </c>
      <c r="B1163" s="23">
        <v>9.83</v>
      </c>
      <c r="C1163" s="81">
        <v>6120</v>
      </c>
      <c r="D1163" s="81">
        <v>1</v>
      </c>
      <c r="E1163" s="70">
        <v>1</v>
      </c>
      <c r="F1163" s="81" t="s">
        <v>260</v>
      </c>
      <c r="G1163" s="81" t="s">
        <v>246</v>
      </c>
      <c r="H1163" s="81">
        <v>1976</v>
      </c>
      <c r="I1163" s="81" t="s">
        <v>247</v>
      </c>
    </row>
    <row r="1164" spans="1:9" x14ac:dyDescent="0.3">
      <c r="A1164" s="23">
        <v>9.74</v>
      </c>
      <c r="B1164" s="23">
        <v>9.89</v>
      </c>
      <c r="C1164" s="81">
        <v>6120</v>
      </c>
      <c r="D1164" s="81">
        <v>1</v>
      </c>
      <c r="E1164" s="70">
        <v>1</v>
      </c>
      <c r="F1164" s="81" t="s">
        <v>260</v>
      </c>
      <c r="G1164" s="81" t="s">
        <v>246</v>
      </c>
      <c r="H1164" s="81">
        <v>1976</v>
      </c>
      <c r="I1164" s="81" t="s">
        <v>247</v>
      </c>
    </row>
    <row r="1165" spans="1:9" x14ac:dyDescent="0.3">
      <c r="A1165" s="23">
        <v>9.74</v>
      </c>
      <c r="B1165" s="23">
        <v>9.98</v>
      </c>
      <c r="C1165" s="81">
        <v>6120</v>
      </c>
      <c r="D1165" s="81">
        <v>1</v>
      </c>
      <c r="E1165" s="70">
        <v>1</v>
      </c>
      <c r="F1165" s="81" t="s">
        <v>260</v>
      </c>
      <c r="G1165" s="81" t="s">
        <v>246</v>
      </c>
      <c r="H1165" s="81">
        <v>1976</v>
      </c>
      <c r="I1165" s="81" t="s">
        <v>247</v>
      </c>
    </row>
    <row r="1166" spans="1:9" x14ac:dyDescent="0.3">
      <c r="A1166" s="23">
        <v>9.74</v>
      </c>
      <c r="B1166" s="23">
        <v>10.1</v>
      </c>
      <c r="C1166" s="81">
        <v>6120</v>
      </c>
      <c r="D1166" s="81">
        <v>1</v>
      </c>
      <c r="E1166" s="70">
        <v>1</v>
      </c>
      <c r="F1166" s="81" t="s">
        <v>260</v>
      </c>
      <c r="G1166" s="81" t="s">
        <v>246</v>
      </c>
      <c r="H1166" s="81">
        <v>1976</v>
      </c>
      <c r="I1166" s="81" t="s">
        <v>247</v>
      </c>
    </row>
    <row r="1167" spans="1:9" x14ac:dyDescent="0.3">
      <c r="A1167" s="23">
        <v>9.77</v>
      </c>
      <c r="B1167" s="23">
        <v>11.83</v>
      </c>
      <c r="C1167" s="81">
        <v>6120</v>
      </c>
      <c r="D1167" s="81">
        <v>1</v>
      </c>
      <c r="E1167" s="70">
        <v>1</v>
      </c>
      <c r="F1167" s="81" t="s">
        <v>260</v>
      </c>
      <c r="G1167" s="81" t="s">
        <v>246</v>
      </c>
      <c r="H1167" s="81">
        <v>1976</v>
      </c>
      <c r="I1167" s="81" t="s">
        <v>247</v>
      </c>
    </row>
    <row r="1168" spans="1:9" x14ac:dyDescent="0.3">
      <c r="A1168" s="23">
        <v>9.77</v>
      </c>
      <c r="B1168" s="23">
        <v>11.92</v>
      </c>
      <c r="C1168" s="81">
        <v>6120</v>
      </c>
      <c r="D1168" s="81">
        <v>1</v>
      </c>
      <c r="E1168" s="70">
        <v>1</v>
      </c>
      <c r="F1168" s="81" t="s">
        <v>260</v>
      </c>
      <c r="G1168" s="81" t="s">
        <v>246</v>
      </c>
      <c r="H1168" s="81">
        <v>1976</v>
      </c>
      <c r="I1168" s="81" t="s">
        <v>247</v>
      </c>
    </row>
    <row r="1169" spans="1:9" x14ac:dyDescent="0.3">
      <c r="A1169" s="23">
        <v>9.8000000000000007</v>
      </c>
      <c r="B1169" s="23">
        <v>10.93</v>
      </c>
      <c r="C1169" s="81">
        <v>6120</v>
      </c>
      <c r="D1169" s="81">
        <v>1</v>
      </c>
      <c r="E1169" s="70">
        <v>1</v>
      </c>
      <c r="F1169" s="81" t="s">
        <v>260</v>
      </c>
      <c r="G1169" s="81" t="s">
        <v>246</v>
      </c>
      <c r="H1169" s="81">
        <v>1976</v>
      </c>
      <c r="I1169" s="81" t="s">
        <v>247</v>
      </c>
    </row>
    <row r="1170" spans="1:9" x14ac:dyDescent="0.3">
      <c r="A1170" s="23">
        <v>9.8000000000000007</v>
      </c>
      <c r="B1170" s="23">
        <v>12.01</v>
      </c>
      <c r="C1170" s="81">
        <v>6120</v>
      </c>
      <c r="D1170" s="81">
        <v>1</v>
      </c>
      <c r="E1170" s="70">
        <v>1</v>
      </c>
      <c r="F1170" s="81" t="s">
        <v>260</v>
      </c>
      <c r="G1170" s="81" t="s">
        <v>246</v>
      </c>
      <c r="H1170" s="81">
        <v>1976</v>
      </c>
      <c r="I1170" s="81" t="s">
        <v>247</v>
      </c>
    </row>
    <row r="1171" spans="1:9" x14ac:dyDescent="0.3">
      <c r="A1171" s="23">
        <v>9.8000000000000007</v>
      </c>
      <c r="B1171" s="23">
        <v>12.64</v>
      </c>
      <c r="C1171" s="81">
        <v>6120</v>
      </c>
      <c r="D1171" s="81">
        <v>1</v>
      </c>
      <c r="E1171" s="70">
        <v>1</v>
      </c>
      <c r="F1171" s="81" t="s">
        <v>260</v>
      </c>
      <c r="G1171" s="81" t="s">
        <v>246</v>
      </c>
      <c r="H1171" s="81">
        <v>1976</v>
      </c>
      <c r="I1171" s="81" t="s">
        <v>247</v>
      </c>
    </row>
    <row r="1172" spans="1:9" x14ac:dyDescent="0.3">
      <c r="A1172" s="23">
        <v>9.83</v>
      </c>
      <c r="B1172" s="23">
        <v>10.73</v>
      </c>
      <c r="C1172" s="81">
        <v>6120</v>
      </c>
      <c r="D1172" s="81">
        <v>1</v>
      </c>
      <c r="E1172" s="70">
        <v>1</v>
      </c>
      <c r="F1172" s="81" t="s">
        <v>260</v>
      </c>
      <c r="G1172" s="81" t="s">
        <v>246</v>
      </c>
      <c r="H1172" s="81">
        <v>1976</v>
      </c>
      <c r="I1172" s="81" t="s">
        <v>247</v>
      </c>
    </row>
    <row r="1173" spans="1:9" x14ac:dyDescent="0.3">
      <c r="A1173" s="23">
        <v>9.83</v>
      </c>
      <c r="B1173" s="23">
        <v>10.82</v>
      </c>
      <c r="C1173" s="81">
        <v>6120</v>
      </c>
      <c r="D1173" s="81">
        <v>1</v>
      </c>
      <c r="E1173" s="70">
        <v>1</v>
      </c>
      <c r="F1173" s="81" t="s">
        <v>260</v>
      </c>
      <c r="G1173" s="81" t="s">
        <v>246</v>
      </c>
      <c r="H1173" s="81">
        <v>1976</v>
      </c>
      <c r="I1173" s="81" t="s">
        <v>247</v>
      </c>
    </row>
    <row r="1174" spans="1:9" x14ac:dyDescent="0.3">
      <c r="A1174" s="23">
        <v>9.89</v>
      </c>
      <c r="B1174" s="23">
        <v>9.83</v>
      </c>
      <c r="C1174" s="81">
        <v>6120</v>
      </c>
      <c r="D1174" s="81">
        <v>1</v>
      </c>
      <c r="E1174" s="70">
        <v>1</v>
      </c>
      <c r="F1174" s="81" t="s">
        <v>260</v>
      </c>
      <c r="G1174" s="81" t="s">
        <v>246</v>
      </c>
      <c r="H1174" s="81">
        <v>1976</v>
      </c>
      <c r="I1174" s="81" t="s">
        <v>247</v>
      </c>
    </row>
    <row r="1175" spans="1:9" x14ac:dyDescent="0.3">
      <c r="A1175" s="23">
        <v>9.89</v>
      </c>
      <c r="B1175" s="23">
        <v>9.89</v>
      </c>
      <c r="C1175" s="81">
        <v>6120</v>
      </c>
      <c r="D1175" s="81">
        <v>1</v>
      </c>
      <c r="E1175" s="70">
        <v>1</v>
      </c>
      <c r="F1175" s="81" t="s">
        <v>260</v>
      </c>
      <c r="G1175" s="81" t="s">
        <v>246</v>
      </c>
      <c r="H1175" s="81">
        <v>1976</v>
      </c>
      <c r="I1175" s="81" t="s">
        <v>247</v>
      </c>
    </row>
    <row r="1176" spans="1:9" x14ac:dyDescent="0.3">
      <c r="A1176" s="23">
        <v>9.89</v>
      </c>
      <c r="B1176" s="23">
        <v>9.98</v>
      </c>
      <c r="C1176" s="81">
        <v>6120</v>
      </c>
      <c r="D1176" s="81">
        <v>1</v>
      </c>
      <c r="E1176" s="70">
        <v>1</v>
      </c>
      <c r="F1176" s="81" t="s">
        <v>260</v>
      </c>
      <c r="G1176" s="81" t="s">
        <v>246</v>
      </c>
      <c r="H1176" s="81">
        <v>1976</v>
      </c>
      <c r="I1176" s="81" t="s">
        <v>247</v>
      </c>
    </row>
    <row r="1177" spans="1:9" x14ac:dyDescent="0.3">
      <c r="A1177" s="23">
        <v>9.89</v>
      </c>
      <c r="B1177" s="23">
        <v>10.07</v>
      </c>
      <c r="C1177" s="81">
        <v>6120</v>
      </c>
      <c r="D1177" s="81">
        <v>1</v>
      </c>
      <c r="E1177" s="70">
        <v>1</v>
      </c>
      <c r="F1177" s="81" t="s">
        <v>260</v>
      </c>
      <c r="G1177" s="81" t="s">
        <v>246</v>
      </c>
      <c r="H1177" s="81">
        <v>1976</v>
      </c>
      <c r="I1177" s="81" t="s">
        <v>247</v>
      </c>
    </row>
    <row r="1178" spans="1:9" x14ac:dyDescent="0.3">
      <c r="A1178" s="23">
        <v>9.89</v>
      </c>
      <c r="B1178" s="23">
        <v>10.93</v>
      </c>
      <c r="C1178" s="81">
        <v>6120</v>
      </c>
      <c r="D1178" s="81">
        <v>1</v>
      </c>
      <c r="E1178" s="70">
        <v>1</v>
      </c>
      <c r="F1178" s="81" t="s">
        <v>260</v>
      </c>
      <c r="G1178" s="81" t="s">
        <v>246</v>
      </c>
      <c r="H1178" s="81">
        <v>1976</v>
      </c>
      <c r="I1178" s="81" t="s">
        <v>247</v>
      </c>
    </row>
    <row r="1179" spans="1:9" x14ac:dyDescent="0.3">
      <c r="A1179" s="23">
        <v>9.89</v>
      </c>
      <c r="B1179" s="23">
        <v>11.95</v>
      </c>
      <c r="C1179" s="81">
        <v>6120</v>
      </c>
      <c r="D1179" s="81">
        <v>1</v>
      </c>
      <c r="E1179" s="70">
        <v>1</v>
      </c>
      <c r="F1179" s="81" t="s">
        <v>260</v>
      </c>
      <c r="G1179" s="81" t="s">
        <v>246</v>
      </c>
      <c r="H1179" s="81">
        <v>1976</v>
      </c>
      <c r="I1179" s="81" t="s">
        <v>247</v>
      </c>
    </row>
    <row r="1180" spans="1:9" x14ac:dyDescent="0.3">
      <c r="A1180" s="23">
        <v>9.89</v>
      </c>
      <c r="B1180" s="23">
        <v>12.01</v>
      </c>
      <c r="C1180" s="81">
        <v>6120</v>
      </c>
      <c r="D1180" s="81">
        <v>1</v>
      </c>
      <c r="E1180" s="70">
        <v>1</v>
      </c>
      <c r="F1180" s="81" t="s">
        <v>260</v>
      </c>
      <c r="G1180" s="81" t="s">
        <v>246</v>
      </c>
      <c r="H1180" s="81">
        <v>1976</v>
      </c>
      <c r="I1180" s="81" t="s">
        <v>247</v>
      </c>
    </row>
    <row r="1181" spans="1:9" x14ac:dyDescent="0.3">
      <c r="A1181" s="23">
        <v>9.92</v>
      </c>
      <c r="B1181" s="23">
        <v>10.85</v>
      </c>
      <c r="C1181" s="81">
        <v>6120</v>
      </c>
      <c r="D1181" s="81">
        <v>1</v>
      </c>
      <c r="E1181" s="70">
        <v>1</v>
      </c>
      <c r="F1181" s="81" t="s">
        <v>260</v>
      </c>
      <c r="G1181" s="81" t="s">
        <v>246</v>
      </c>
      <c r="H1181" s="81">
        <v>1976</v>
      </c>
      <c r="I1181" s="81" t="s">
        <v>247</v>
      </c>
    </row>
    <row r="1182" spans="1:9" x14ac:dyDescent="0.3">
      <c r="A1182" s="23">
        <v>9.92</v>
      </c>
      <c r="B1182" s="23">
        <v>11.8</v>
      </c>
      <c r="C1182" s="81">
        <v>6120</v>
      </c>
      <c r="D1182" s="81">
        <v>1</v>
      </c>
      <c r="E1182" s="70">
        <v>1</v>
      </c>
      <c r="F1182" s="81" t="s">
        <v>260</v>
      </c>
      <c r="G1182" s="81" t="s">
        <v>246</v>
      </c>
      <c r="H1182" s="81">
        <v>1976</v>
      </c>
      <c r="I1182" s="81" t="s">
        <v>247</v>
      </c>
    </row>
    <row r="1183" spans="1:9" x14ac:dyDescent="0.3">
      <c r="A1183" s="23">
        <v>9.9499999999999993</v>
      </c>
      <c r="B1183" s="23">
        <v>9.92</v>
      </c>
      <c r="C1183" s="81">
        <v>6120</v>
      </c>
      <c r="D1183" s="81">
        <v>1</v>
      </c>
      <c r="E1183" s="70">
        <v>1</v>
      </c>
      <c r="F1183" s="81" t="s">
        <v>260</v>
      </c>
      <c r="G1183" s="81" t="s">
        <v>246</v>
      </c>
      <c r="H1183" s="81">
        <v>1976</v>
      </c>
      <c r="I1183" s="81" t="s">
        <v>247</v>
      </c>
    </row>
    <row r="1184" spans="1:9" x14ac:dyDescent="0.3">
      <c r="A1184" s="23">
        <v>9.9499999999999993</v>
      </c>
      <c r="B1184" s="23">
        <v>9.9499999999999993</v>
      </c>
      <c r="C1184" s="81">
        <v>6120</v>
      </c>
      <c r="D1184" s="81">
        <v>1</v>
      </c>
      <c r="E1184" s="70">
        <v>1</v>
      </c>
      <c r="F1184" s="81" t="s">
        <v>260</v>
      </c>
      <c r="G1184" s="81" t="s">
        <v>246</v>
      </c>
      <c r="H1184" s="81">
        <v>1976</v>
      </c>
      <c r="I1184" s="81" t="s">
        <v>247</v>
      </c>
    </row>
    <row r="1185" spans="1:9" x14ac:dyDescent="0.3">
      <c r="A1185" s="23">
        <v>9.9499999999999993</v>
      </c>
      <c r="B1185" s="23">
        <v>10.07</v>
      </c>
      <c r="C1185" s="81">
        <v>6120</v>
      </c>
      <c r="D1185" s="81">
        <v>1</v>
      </c>
      <c r="E1185" s="70">
        <v>1</v>
      </c>
      <c r="F1185" s="81" t="s">
        <v>260</v>
      </c>
      <c r="G1185" s="81" t="s">
        <v>246</v>
      </c>
      <c r="H1185" s="81">
        <v>1976</v>
      </c>
      <c r="I1185" s="81" t="s">
        <v>247</v>
      </c>
    </row>
    <row r="1186" spans="1:9" x14ac:dyDescent="0.3">
      <c r="A1186" s="23">
        <v>9.98</v>
      </c>
      <c r="B1186" s="23">
        <v>9.86</v>
      </c>
      <c r="C1186" s="81">
        <v>6120</v>
      </c>
      <c r="D1186" s="81">
        <v>1</v>
      </c>
      <c r="E1186" s="70">
        <v>1</v>
      </c>
      <c r="F1186" s="81" t="s">
        <v>260</v>
      </c>
      <c r="G1186" s="81" t="s">
        <v>246</v>
      </c>
      <c r="H1186" s="81">
        <v>1976</v>
      </c>
      <c r="I1186" s="81" t="s">
        <v>247</v>
      </c>
    </row>
    <row r="1187" spans="1:9" x14ac:dyDescent="0.3">
      <c r="A1187" s="23">
        <v>10.71</v>
      </c>
      <c r="B1187" s="23">
        <v>10.73</v>
      </c>
      <c r="C1187" s="81">
        <v>6120</v>
      </c>
      <c r="D1187" s="81">
        <v>1</v>
      </c>
      <c r="E1187" s="70">
        <v>1</v>
      </c>
      <c r="F1187" s="81" t="s">
        <v>260</v>
      </c>
      <c r="G1187" s="81" t="s">
        <v>246</v>
      </c>
      <c r="H1187" s="81">
        <v>1976</v>
      </c>
      <c r="I1187" s="81" t="s">
        <v>247</v>
      </c>
    </row>
    <row r="1188" spans="1:9" x14ac:dyDescent="0.3">
      <c r="A1188" s="23">
        <v>10.71</v>
      </c>
      <c r="B1188" s="23">
        <v>10.79</v>
      </c>
      <c r="C1188" s="81">
        <v>6120</v>
      </c>
      <c r="D1188" s="81">
        <v>1</v>
      </c>
      <c r="E1188" s="70">
        <v>1</v>
      </c>
      <c r="F1188" s="81" t="s">
        <v>260</v>
      </c>
      <c r="G1188" s="81" t="s">
        <v>246</v>
      </c>
      <c r="H1188" s="81">
        <v>1976</v>
      </c>
      <c r="I1188" s="81" t="s">
        <v>247</v>
      </c>
    </row>
    <row r="1189" spans="1:9" x14ac:dyDescent="0.3">
      <c r="A1189" s="23">
        <v>10.71</v>
      </c>
      <c r="B1189" s="23">
        <v>10.96</v>
      </c>
      <c r="C1189" s="81">
        <v>6120</v>
      </c>
      <c r="D1189" s="81">
        <v>1</v>
      </c>
      <c r="E1189" s="70">
        <v>1</v>
      </c>
      <c r="F1189" s="81" t="s">
        <v>260</v>
      </c>
      <c r="G1189" s="81" t="s">
        <v>246</v>
      </c>
      <c r="H1189" s="81">
        <v>1976</v>
      </c>
      <c r="I1189" s="81" t="s">
        <v>247</v>
      </c>
    </row>
    <row r="1190" spans="1:9" x14ac:dyDescent="0.3">
      <c r="A1190" s="23">
        <v>10.71</v>
      </c>
      <c r="B1190" s="23">
        <v>11.75</v>
      </c>
      <c r="C1190" s="81">
        <v>6120</v>
      </c>
      <c r="D1190" s="81">
        <v>1</v>
      </c>
      <c r="E1190" s="4">
        <v>1</v>
      </c>
      <c r="F1190" s="81" t="s">
        <v>260</v>
      </c>
      <c r="G1190" s="81" t="s">
        <v>246</v>
      </c>
      <c r="H1190" s="81">
        <v>1976</v>
      </c>
      <c r="I1190" s="81" t="s">
        <v>247</v>
      </c>
    </row>
    <row r="1191" spans="1:9" x14ac:dyDescent="0.3">
      <c r="A1191" s="23">
        <v>10.71</v>
      </c>
      <c r="B1191" s="23">
        <v>11.83</v>
      </c>
      <c r="C1191" s="81">
        <v>6120</v>
      </c>
      <c r="D1191" s="81">
        <v>1</v>
      </c>
      <c r="E1191" s="70">
        <v>1</v>
      </c>
      <c r="F1191" s="81" t="s">
        <v>260</v>
      </c>
      <c r="G1191" s="81" t="s">
        <v>246</v>
      </c>
      <c r="H1191" s="81">
        <v>1976</v>
      </c>
      <c r="I1191" s="81" t="s">
        <v>247</v>
      </c>
    </row>
    <row r="1192" spans="1:9" x14ac:dyDescent="0.3">
      <c r="A1192" s="23">
        <v>10.71</v>
      </c>
      <c r="B1192" s="23">
        <v>12.76</v>
      </c>
      <c r="C1192" s="81">
        <v>6120</v>
      </c>
      <c r="D1192" s="81">
        <v>1</v>
      </c>
      <c r="E1192" s="70">
        <v>1</v>
      </c>
      <c r="F1192" s="81" t="s">
        <v>260</v>
      </c>
      <c r="G1192" s="81" t="s">
        <v>246</v>
      </c>
      <c r="H1192" s="81">
        <v>1976</v>
      </c>
      <c r="I1192" s="81" t="s">
        <v>247</v>
      </c>
    </row>
    <row r="1193" spans="1:9" x14ac:dyDescent="0.3">
      <c r="A1193" s="23">
        <v>10.71</v>
      </c>
      <c r="B1193" s="23">
        <v>12.85</v>
      </c>
      <c r="C1193" s="81">
        <v>6120</v>
      </c>
      <c r="D1193" s="81">
        <v>1</v>
      </c>
      <c r="E1193" s="70">
        <v>1</v>
      </c>
      <c r="F1193" s="81" t="s">
        <v>260</v>
      </c>
      <c r="G1193" s="81" t="s">
        <v>246</v>
      </c>
      <c r="H1193" s="81">
        <v>1976</v>
      </c>
      <c r="I1193" s="81" t="s">
        <v>247</v>
      </c>
    </row>
    <row r="1194" spans="1:9" x14ac:dyDescent="0.3">
      <c r="A1194" s="23">
        <v>10.77</v>
      </c>
      <c r="B1194" s="23">
        <v>11.98</v>
      </c>
      <c r="C1194" s="81">
        <v>6120</v>
      </c>
      <c r="D1194" s="81">
        <v>1</v>
      </c>
      <c r="E1194" s="70">
        <v>1</v>
      </c>
      <c r="F1194" s="81" t="s">
        <v>260</v>
      </c>
      <c r="G1194" s="81" t="s">
        <v>246</v>
      </c>
      <c r="H1194" s="81">
        <v>1976</v>
      </c>
      <c r="I1194" s="81" t="s">
        <v>247</v>
      </c>
    </row>
    <row r="1195" spans="1:9" x14ac:dyDescent="0.3">
      <c r="A1195" s="23">
        <v>10.77</v>
      </c>
      <c r="B1195" s="23">
        <v>13.63</v>
      </c>
      <c r="C1195" s="81">
        <v>6120</v>
      </c>
      <c r="D1195" s="81">
        <v>1</v>
      </c>
      <c r="E1195" s="70">
        <v>1</v>
      </c>
      <c r="F1195" s="81" t="s">
        <v>260</v>
      </c>
      <c r="G1195" s="81" t="s">
        <v>246</v>
      </c>
      <c r="H1195" s="81">
        <v>1976</v>
      </c>
      <c r="I1195" s="81" t="s">
        <v>247</v>
      </c>
    </row>
    <row r="1196" spans="1:9" x14ac:dyDescent="0.3">
      <c r="A1196" s="23">
        <v>10.83</v>
      </c>
      <c r="B1196" s="23">
        <v>10.73</v>
      </c>
      <c r="C1196" s="81">
        <v>6120</v>
      </c>
      <c r="D1196" s="81">
        <v>1</v>
      </c>
      <c r="E1196" s="70">
        <v>1</v>
      </c>
      <c r="F1196" s="81" t="s">
        <v>260</v>
      </c>
      <c r="G1196" s="81" t="s">
        <v>246</v>
      </c>
      <c r="H1196" s="81">
        <v>1976</v>
      </c>
      <c r="I1196" s="81" t="s">
        <v>247</v>
      </c>
    </row>
    <row r="1197" spans="1:9" x14ac:dyDescent="0.3">
      <c r="A1197" s="23">
        <v>10.83</v>
      </c>
      <c r="B1197" s="23">
        <v>10.76</v>
      </c>
      <c r="C1197" s="81">
        <v>6120</v>
      </c>
      <c r="D1197" s="81">
        <v>1</v>
      </c>
      <c r="E1197" s="70">
        <v>1</v>
      </c>
      <c r="F1197" s="81" t="s">
        <v>260</v>
      </c>
      <c r="G1197" s="81" t="s">
        <v>246</v>
      </c>
      <c r="H1197" s="81">
        <v>1976</v>
      </c>
      <c r="I1197" s="81" t="s">
        <v>247</v>
      </c>
    </row>
    <row r="1198" spans="1:9" x14ac:dyDescent="0.3">
      <c r="A1198" s="23">
        <v>10.83</v>
      </c>
      <c r="B1198" s="23">
        <v>10.85</v>
      </c>
      <c r="C1198" s="81">
        <v>6120</v>
      </c>
      <c r="D1198" s="81">
        <v>1</v>
      </c>
      <c r="E1198" s="70">
        <v>1</v>
      </c>
      <c r="F1198" s="81" t="s">
        <v>260</v>
      </c>
      <c r="G1198" s="81" t="s">
        <v>246</v>
      </c>
      <c r="H1198" s="81">
        <v>1976</v>
      </c>
      <c r="I1198" s="81" t="s">
        <v>247</v>
      </c>
    </row>
    <row r="1199" spans="1:9" x14ac:dyDescent="0.3">
      <c r="A1199" s="23">
        <v>10.83</v>
      </c>
      <c r="B1199" s="23">
        <v>11.8</v>
      </c>
      <c r="C1199" s="81">
        <v>6120</v>
      </c>
      <c r="D1199" s="81">
        <v>1</v>
      </c>
      <c r="E1199" s="70">
        <v>1</v>
      </c>
      <c r="F1199" s="81" t="s">
        <v>260</v>
      </c>
      <c r="G1199" s="81" t="s">
        <v>246</v>
      </c>
      <c r="H1199" s="81">
        <v>1976</v>
      </c>
      <c r="I1199" s="81" t="s">
        <v>247</v>
      </c>
    </row>
    <row r="1200" spans="1:9" x14ac:dyDescent="0.3">
      <c r="A1200" s="23">
        <v>10.86</v>
      </c>
      <c r="B1200" s="23">
        <v>11.75</v>
      </c>
      <c r="C1200" s="81">
        <v>6120</v>
      </c>
      <c r="D1200" s="81">
        <v>1</v>
      </c>
      <c r="E1200" s="70">
        <v>1</v>
      </c>
      <c r="F1200" s="81" t="s">
        <v>260</v>
      </c>
      <c r="G1200" s="81" t="s">
        <v>246</v>
      </c>
      <c r="H1200" s="81">
        <v>1976</v>
      </c>
      <c r="I1200" s="81" t="s">
        <v>247</v>
      </c>
    </row>
    <row r="1201" spans="1:9" x14ac:dyDescent="0.3">
      <c r="A1201" s="23">
        <v>10.86</v>
      </c>
      <c r="B1201" s="23">
        <v>12.76</v>
      </c>
      <c r="C1201" s="81">
        <v>6120</v>
      </c>
      <c r="D1201" s="81">
        <v>1</v>
      </c>
      <c r="E1201" s="70">
        <v>1</v>
      </c>
      <c r="F1201" s="81" t="s">
        <v>260</v>
      </c>
      <c r="G1201" s="81" t="s">
        <v>246</v>
      </c>
      <c r="H1201" s="81">
        <v>1976</v>
      </c>
      <c r="I1201" s="81" t="s">
        <v>247</v>
      </c>
    </row>
    <row r="1202" spans="1:9" x14ac:dyDescent="0.3">
      <c r="A1202" s="23">
        <v>10.89</v>
      </c>
      <c r="B1202" s="23">
        <v>13.63</v>
      </c>
      <c r="C1202" s="81">
        <v>6120</v>
      </c>
      <c r="D1202" s="81">
        <v>1</v>
      </c>
      <c r="E1202" s="70">
        <v>1</v>
      </c>
      <c r="F1202" s="81" t="s">
        <v>260</v>
      </c>
      <c r="G1202" s="81" t="s">
        <v>246</v>
      </c>
      <c r="H1202" s="81">
        <v>1976</v>
      </c>
      <c r="I1202" s="81" t="s">
        <v>247</v>
      </c>
    </row>
    <row r="1203" spans="1:9" x14ac:dyDescent="0.3">
      <c r="A1203" s="23">
        <v>10.92</v>
      </c>
      <c r="B1203" s="23">
        <v>11.98</v>
      </c>
      <c r="C1203" s="81">
        <v>6120</v>
      </c>
      <c r="D1203" s="81">
        <v>1</v>
      </c>
      <c r="E1203" s="70">
        <v>1</v>
      </c>
      <c r="F1203" s="81" t="s">
        <v>260</v>
      </c>
      <c r="G1203" s="81" t="s">
        <v>246</v>
      </c>
      <c r="H1203" s="81">
        <v>1976</v>
      </c>
      <c r="I1203" s="81" t="s">
        <v>247</v>
      </c>
    </row>
    <row r="1204" spans="1:9" x14ac:dyDescent="0.3">
      <c r="A1204" s="23">
        <v>10.95</v>
      </c>
      <c r="B1204" s="23">
        <v>11.75</v>
      </c>
      <c r="C1204" s="81">
        <v>6120</v>
      </c>
      <c r="D1204" s="81">
        <v>1</v>
      </c>
      <c r="E1204" s="70">
        <v>1</v>
      </c>
      <c r="F1204" s="81" t="s">
        <v>260</v>
      </c>
      <c r="G1204" s="81" t="s">
        <v>246</v>
      </c>
      <c r="H1204" s="81">
        <v>1976</v>
      </c>
      <c r="I1204" s="81" t="s">
        <v>247</v>
      </c>
    </row>
    <row r="1205" spans="1:9" x14ac:dyDescent="0.3">
      <c r="A1205" s="23">
        <v>10.98</v>
      </c>
      <c r="B1205" s="23">
        <v>11.8</v>
      </c>
      <c r="C1205" s="81">
        <v>6120</v>
      </c>
      <c r="D1205" s="81">
        <v>1</v>
      </c>
      <c r="E1205" s="70">
        <v>1</v>
      </c>
      <c r="F1205" s="81" t="s">
        <v>260</v>
      </c>
      <c r="G1205" s="81" t="s">
        <v>246</v>
      </c>
      <c r="H1205" s="81">
        <v>1976</v>
      </c>
      <c r="I1205" s="81" t="s">
        <v>247</v>
      </c>
    </row>
    <row r="1206" spans="1:9" x14ac:dyDescent="0.3">
      <c r="A1206" s="23">
        <v>10.98</v>
      </c>
      <c r="B1206" s="23">
        <v>11.95</v>
      </c>
      <c r="C1206" s="81">
        <v>6120</v>
      </c>
      <c r="D1206" s="81">
        <v>1</v>
      </c>
      <c r="E1206" s="70">
        <v>1</v>
      </c>
      <c r="F1206" s="81" t="s">
        <v>260</v>
      </c>
      <c r="G1206" s="81" t="s">
        <v>246</v>
      </c>
      <c r="H1206" s="81">
        <v>1976</v>
      </c>
      <c r="I1206" s="81" t="s">
        <v>247</v>
      </c>
    </row>
    <row r="1207" spans="1:9" x14ac:dyDescent="0.3">
      <c r="A1207" s="23">
        <v>11.67</v>
      </c>
      <c r="B1207" s="23">
        <v>11.75</v>
      </c>
      <c r="C1207" s="81">
        <v>6120</v>
      </c>
      <c r="D1207" s="81">
        <v>1</v>
      </c>
      <c r="E1207" s="70">
        <v>1</v>
      </c>
      <c r="F1207" s="81" t="s">
        <v>260</v>
      </c>
      <c r="G1207" s="81" t="s">
        <v>246</v>
      </c>
      <c r="H1207" s="81">
        <v>1976</v>
      </c>
      <c r="I1207" s="81" t="s">
        <v>247</v>
      </c>
    </row>
    <row r="1208" spans="1:9" x14ac:dyDescent="0.3">
      <c r="A1208" s="23">
        <v>11.7</v>
      </c>
      <c r="B1208" s="23">
        <v>11.63</v>
      </c>
      <c r="C1208" s="81">
        <v>6120</v>
      </c>
      <c r="D1208" s="81">
        <v>1</v>
      </c>
      <c r="E1208" s="70">
        <v>1</v>
      </c>
      <c r="F1208" s="81" t="s">
        <v>260</v>
      </c>
      <c r="G1208" s="81" t="s">
        <v>246</v>
      </c>
      <c r="H1208" s="81">
        <v>1976</v>
      </c>
      <c r="I1208" s="81" t="s">
        <v>247</v>
      </c>
    </row>
    <row r="1209" spans="1:9" x14ac:dyDescent="0.3">
      <c r="A1209" s="23">
        <v>11.7</v>
      </c>
      <c r="B1209" s="23">
        <v>11.86</v>
      </c>
      <c r="C1209" s="81">
        <v>6120</v>
      </c>
      <c r="D1209" s="81">
        <v>1</v>
      </c>
      <c r="E1209" s="70">
        <v>1</v>
      </c>
      <c r="F1209" s="81" t="s">
        <v>260</v>
      </c>
      <c r="G1209" s="81" t="s">
        <v>246</v>
      </c>
      <c r="H1209" s="81">
        <v>1976</v>
      </c>
      <c r="I1209" s="81" t="s">
        <v>247</v>
      </c>
    </row>
    <row r="1210" spans="1:9" x14ac:dyDescent="0.3">
      <c r="A1210" s="23">
        <v>11.7</v>
      </c>
      <c r="B1210" s="23">
        <v>13.74</v>
      </c>
      <c r="C1210" s="81">
        <v>6120</v>
      </c>
      <c r="D1210" s="81">
        <v>1</v>
      </c>
      <c r="E1210" s="70">
        <v>1</v>
      </c>
      <c r="F1210" s="81" t="s">
        <v>260</v>
      </c>
      <c r="G1210" s="81" t="s">
        <v>246</v>
      </c>
      <c r="H1210" s="81">
        <v>1976</v>
      </c>
      <c r="I1210" s="81" t="s">
        <v>247</v>
      </c>
    </row>
    <row r="1211" spans="1:9" x14ac:dyDescent="0.3">
      <c r="A1211" s="23">
        <v>11.73</v>
      </c>
      <c r="B1211" s="23">
        <v>13.57</v>
      </c>
      <c r="C1211" s="81">
        <v>6120</v>
      </c>
      <c r="D1211" s="81">
        <v>1</v>
      </c>
      <c r="E1211" s="70">
        <v>1</v>
      </c>
      <c r="F1211" s="81" t="s">
        <v>260</v>
      </c>
      <c r="G1211" s="81" t="s">
        <v>246</v>
      </c>
      <c r="H1211" s="81">
        <v>1976</v>
      </c>
      <c r="I1211" s="81" t="s">
        <v>247</v>
      </c>
    </row>
    <row r="1212" spans="1:9" x14ac:dyDescent="0.3">
      <c r="A1212" s="23">
        <v>11.76</v>
      </c>
      <c r="B1212" s="23">
        <v>12.64</v>
      </c>
      <c r="C1212" s="81">
        <v>6120</v>
      </c>
      <c r="D1212" s="81">
        <v>1</v>
      </c>
      <c r="E1212" s="70">
        <v>1</v>
      </c>
      <c r="F1212" s="81" t="s">
        <v>260</v>
      </c>
      <c r="G1212" s="81" t="s">
        <v>246</v>
      </c>
      <c r="H1212" s="81">
        <v>1976</v>
      </c>
      <c r="I1212" s="81" t="s">
        <v>247</v>
      </c>
    </row>
    <row r="1213" spans="1:9" x14ac:dyDescent="0.3">
      <c r="A1213" s="23">
        <v>11.79</v>
      </c>
      <c r="B1213" s="23">
        <v>11.75</v>
      </c>
      <c r="C1213" s="81">
        <v>6120</v>
      </c>
      <c r="D1213" s="81">
        <v>1</v>
      </c>
      <c r="E1213" s="70">
        <v>1</v>
      </c>
      <c r="F1213" s="81" t="s">
        <v>260</v>
      </c>
      <c r="G1213" s="81" t="s">
        <v>246</v>
      </c>
      <c r="H1213" s="81">
        <v>1976</v>
      </c>
      <c r="I1213" s="81" t="s">
        <v>247</v>
      </c>
    </row>
    <row r="1214" spans="1:9" x14ac:dyDescent="0.3">
      <c r="A1214" s="23">
        <v>11.85</v>
      </c>
      <c r="B1214" s="23">
        <v>13.57</v>
      </c>
      <c r="C1214" s="81">
        <v>6120</v>
      </c>
      <c r="D1214" s="81">
        <v>1</v>
      </c>
      <c r="E1214" s="70">
        <v>1</v>
      </c>
      <c r="F1214" s="81" t="s">
        <v>260</v>
      </c>
      <c r="G1214" s="81" t="s">
        <v>246</v>
      </c>
      <c r="H1214" s="81">
        <v>1976</v>
      </c>
      <c r="I1214" s="81" t="s">
        <v>247</v>
      </c>
    </row>
    <row r="1215" spans="1:9" x14ac:dyDescent="0.3">
      <c r="A1215" s="23">
        <v>11.85</v>
      </c>
      <c r="B1215" s="23">
        <v>13.74</v>
      </c>
      <c r="C1215" s="81">
        <v>6120</v>
      </c>
      <c r="D1215" s="81">
        <v>1</v>
      </c>
      <c r="E1215" s="70">
        <v>1</v>
      </c>
      <c r="F1215" s="81" t="s">
        <v>260</v>
      </c>
      <c r="G1215" s="81" t="s">
        <v>246</v>
      </c>
      <c r="H1215" s="81">
        <v>1976</v>
      </c>
      <c r="I1215" s="81" t="s">
        <v>247</v>
      </c>
    </row>
    <row r="1216" spans="1:9" x14ac:dyDescent="0.3">
      <c r="A1216" s="23">
        <v>11.88</v>
      </c>
      <c r="B1216" s="23">
        <v>11.66</v>
      </c>
      <c r="C1216" s="81">
        <v>6120</v>
      </c>
      <c r="D1216" s="81">
        <v>1</v>
      </c>
      <c r="E1216" s="70">
        <v>1</v>
      </c>
      <c r="F1216" s="81" t="s">
        <v>260</v>
      </c>
      <c r="G1216" s="81" t="s">
        <v>246</v>
      </c>
      <c r="H1216" s="81">
        <v>1976</v>
      </c>
      <c r="I1216" s="81" t="s">
        <v>247</v>
      </c>
    </row>
    <row r="1217" spans="1:9" x14ac:dyDescent="0.3">
      <c r="A1217" s="23">
        <v>11.88</v>
      </c>
      <c r="B1217" s="23">
        <v>11.86</v>
      </c>
      <c r="C1217" s="81">
        <v>6120</v>
      </c>
      <c r="D1217" s="81">
        <v>1</v>
      </c>
      <c r="E1217" s="70">
        <v>1</v>
      </c>
      <c r="F1217" s="81" t="s">
        <v>260</v>
      </c>
      <c r="G1217" s="81" t="s">
        <v>246</v>
      </c>
      <c r="H1217" s="81">
        <v>1976</v>
      </c>
      <c r="I1217" s="81" t="s">
        <v>247</v>
      </c>
    </row>
    <row r="1218" spans="1:9" x14ac:dyDescent="0.3">
      <c r="A1218" s="23">
        <v>11.94</v>
      </c>
      <c r="B1218" s="23">
        <v>11.75</v>
      </c>
      <c r="C1218" s="81">
        <v>6120</v>
      </c>
      <c r="D1218" s="81">
        <v>1</v>
      </c>
      <c r="E1218" s="70">
        <v>1</v>
      </c>
      <c r="F1218" s="81" t="s">
        <v>260</v>
      </c>
      <c r="G1218" s="81" t="s">
        <v>246</v>
      </c>
      <c r="H1218" s="81">
        <v>1976</v>
      </c>
      <c r="I1218" s="81" t="s">
        <v>247</v>
      </c>
    </row>
    <row r="1219" spans="1:9" x14ac:dyDescent="0.3">
      <c r="A1219" s="23">
        <v>11.94</v>
      </c>
      <c r="B1219" s="23">
        <v>12.61</v>
      </c>
      <c r="C1219" s="81">
        <v>6120</v>
      </c>
      <c r="D1219" s="81">
        <v>1</v>
      </c>
      <c r="E1219" s="70">
        <v>1</v>
      </c>
      <c r="F1219" s="81" t="s">
        <v>260</v>
      </c>
      <c r="G1219" s="81" t="s">
        <v>246</v>
      </c>
      <c r="H1219" s="81">
        <v>1976</v>
      </c>
      <c r="I1219" s="81" t="s">
        <v>247</v>
      </c>
    </row>
    <row r="1220" spans="1:9" x14ac:dyDescent="0.3">
      <c r="A1220" s="23">
        <v>11.97</v>
      </c>
      <c r="B1220" s="23">
        <v>11.66</v>
      </c>
      <c r="C1220" s="81">
        <v>6120</v>
      </c>
      <c r="D1220" s="81">
        <v>1</v>
      </c>
      <c r="E1220" s="70">
        <v>1</v>
      </c>
      <c r="F1220" s="81" t="s">
        <v>260</v>
      </c>
      <c r="G1220" s="81" t="s">
        <v>246</v>
      </c>
      <c r="H1220" s="81">
        <v>1976</v>
      </c>
      <c r="I1220" s="81" t="s">
        <v>247</v>
      </c>
    </row>
    <row r="1221" spans="1:9" x14ac:dyDescent="0.3">
      <c r="A1221" s="23">
        <v>12.67</v>
      </c>
      <c r="B1221" s="23">
        <v>13.6</v>
      </c>
      <c r="C1221" s="81">
        <v>6120</v>
      </c>
      <c r="D1221" s="81">
        <v>1</v>
      </c>
      <c r="E1221" s="70">
        <v>1</v>
      </c>
      <c r="F1221" s="81" t="s">
        <v>260</v>
      </c>
      <c r="G1221" s="81" t="s">
        <v>246</v>
      </c>
      <c r="H1221" s="81">
        <v>1976</v>
      </c>
      <c r="I1221" s="81" t="s">
        <v>247</v>
      </c>
    </row>
    <row r="1222" spans="1:9" x14ac:dyDescent="0.3">
      <c r="A1222" s="23">
        <v>12.67</v>
      </c>
      <c r="B1222" s="23">
        <v>18.61</v>
      </c>
      <c r="C1222" s="81">
        <v>6120</v>
      </c>
      <c r="D1222" s="81">
        <v>1</v>
      </c>
      <c r="E1222" s="70">
        <v>1</v>
      </c>
      <c r="F1222" s="81" t="s">
        <v>260</v>
      </c>
      <c r="G1222" s="81" t="s">
        <v>246</v>
      </c>
      <c r="H1222" s="81">
        <v>1976</v>
      </c>
      <c r="I1222" s="81" t="s">
        <v>247</v>
      </c>
    </row>
    <row r="1223" spans="1:9" x14ac:dyDescent="0.3">
      <c r="A1223" s="23">
        <v>12.7</v>
      </c>
      <c r="B1223" s="23">
        <v>12.67</v>
      </c>
      <c r="C1223" s="81">
        <v>6120</v>
      </c>
      <c r="D1223" s="81">
        <v>1</v>
      </c>
      <c r="E1223" s="70">
        <v>1</v>
      </c>
      <c r="F1223" s="81" t="s">
        <v>260</v>
      </c>
      <c r="G1223" s="81" t="s">
        <v>246</v>
      </c>
      <c r="H1223" s="81">
        <v>1976</v>
      </c>
      <c r="I1223" s="81" t="s">
        <v>247</v>
      </c>
    </row>
    <row r="1224" spans="1:9" x14ac:dyDescent="0.3">
      <c r="A1224" s="23">
        <v>12.7</v>
      </c>
      <c r="B1224" s="23">
        <v>12.82</v>
      </c>
      <c r="C1224" s="81">
        <v>6120</v>
      </c>
      <c r="D1224" s="81">
        <v>1</v>
      </c>
      <c r="E1224" s="70">
        <v>1</v>
      </c>
      <c r="F1224" s="81" t="s">
        <v>260</v>
      </c>
      <c r="G1224" s="81" t="s">
        <v>246</v>
      </c>
      <c r="H1224" s="81">
        <v>1976</v>
      </c>
      <c r="I1224" s="81" t="s">
        <v>247</v>
      </c>
    </row>
    <row r="1225" spans="1:9" x14ac:dyDescent="0.3">
      <c r="A1225" s="23">
        <v>12.88</v>
      </c>
      <c r="B1225" s="23">
        <v>12.67</v>
      </c>
      <c r="C1225" s="81">
        <v>6120</v>
      </c>
      <c r="D1225" s="81">
        <v>1</v>
      </c>
      <c r="E1225" s="70">
        <v>1</v>
      </c>
      <c r="F1225" s="81" t="s">
        <v>260</v>
      </c>
      <c r="G1225" s="81" t="s">
        <v>246</v>
      </c>
      <c r="H1225" s="81">
        <v>1976</v>
      </c>
      <c r="I1225" s="81" t="s">
        <v>247</v>
      </c>
    </row>
    <row r="1226" spans="1:9" x14ac:dyDescent="0.3">
      <c r="A1226" s="23">
        <v>12.88</v>
      </c>
      <c r="B1226" s="23">
        <v>13.6</v>
      </c>
      <c r="C1226" s="81">
        <v>6120</v>
      </c>
      <c r="D1226" s="81">
        <v>1</v>
      </c>
      <c r="E1226" s="70">
        <v>1</v>
      </c>
      <c r="F1226" s="81" t="s">
        <v>260</v>
      </c>
      <c r="G1226" s="81" t="s">
        <v>246</v>
      </c>
      <c r="H1226" s="81">
        <v>1976</v>
      </c>
      <c r="I1226" s="81" t="s">
        <v>247</v>
      </c>
    </row>
    <row r="1227" spans="1:9" x14ac:dyDescent="0.3">
      <c r="A1227" s="23">
        <v>13.66</v>
      </c>
      <c r="B1227" s="23">
        <v>12.64</v>
      </c>
      <c r="C1227" s="81">
        <v>6120</v>
      </c>
      <c r="D1227" s="81">
        <v>1</v>
      </c>
      <c r="E1227" s="70">
        <v>1</v>
      </c>
      <c r="F1227" s="81" t="s">
        <v>260</v>
      </c>
      <c r="G1227" s="81" t="s">
        <v>246</v>
      </c>
      <c r="H1227" s="81">
        <v>1976</v>
      </c>
      <c r="I1227" s="81" t="s">
        <v>247</v>
      </c>
    </row>
    <row r="1228" spans="1:9" x14ac:dyDescent="0.3">
      <c r="A1228" s="23">
        <v>13.72</v>
      </c>
      <c r="B1228" s="23">
        <v>13.66</v>
      </c>
      <c r="C1228" s="81">
        <v>6120</v>
      </c>
      <c r="D1228" s="81">
        <v>1</v>
      </c>
      <c r="E1228" s="70">
        <v>1</v>
      </c>
      <c r="F1228" s="81" t="s">
        <v>260</v>
      </c>
      <c r="G1228" s="81" t="s">
        <v>246</v>
      </c>
      <c r="H1228" s="81">
        <v>1976</v>
      </c>
      <c r="I1228" s="81" t="s">
        <v>247</v>
      </c>
    </row>
    <row r="1229" spans="1:9" x14ac:dyDescent="0.3">
      <c r="A1229" s="23">
        <v>13.72</v>
      </c>
      <c r="B1229" s="23">
        <v>13.86</v>
      </c>
      <c r="C1229" s="81">
        <v>6120</v>
      </c>
      <c r="D1229" s="81">
        <v>1</v>
      </c>
      <c r="E1229" s="70">
        <v>1</v>
      </c>
      <c r="F1229" s="81" t="s">
        <v>260</v>
      </c>
      <c r="G1229" s="81" t="s">
        <v>246</v>
      </c>
      <c r="H1229" s="81">
        <v>1976</v>
      </c>
      <c r="I1229" s="81" t="s">
        <v>247</v>
      </c>
    </row>
    <row r="1230" spans="1:9" x14ac:dyDescent="0.3">
      <c r="A1230" s="23">
        <v>13.75</v>
      </c>
      <c r="B1230" s="23">
        <v>13.97</v>
      </c>
      <c r="C1230" s="81">
        <v>6120</v>
      </c>
      <c r="D1230" s="81">
        <v>1</v>
      </c>
      <c r="E1230" s="70">
        <v>1</v>
      </c>
      <c r="F1230" s="81" t="s">
        <v>260</v>
      </c>
      <c r="G1230" s="81" t="s">
        <v>246</v>
      </c>
      <c r="H1230" s="81">
        <v>1976</v>
      </c>
      <c r="I1230" s="81" t="s">
        <v>247</v>
      </c>
    </row>
    <row r="1231" spans="1:9" x14ac:dyDescent="0.3">
      <c r="A1231" s="23">
        <v>13.75</v>
      </c>
      <c r="B1231" s="23">
        <v>14.64</v>
      </c>
      <c r="C1231" s="81">
        <v>6120</v>
      </c>
      <c r="D1231" s="81">
        <v>1</v>
      </c>
      <c r="E1231" s="70">
        <v>1</v>
      </c>
      <c r="F1231" s="81" t="s">
        <v>260</v>
      </c>
      <c r="G1231" s="81" t="s">
        <v>246</v>
      </c>
      <c r="H1231" s="81">
        <v>1976</v>
      </c>
      <c r="I1231" s="81" t="s">
        <v>247</v>
      </c>
    </row>
    <row r="1232" spans="1:9" x14ac:dyDescent="0.3">
      <c r="A1232" s="23">
        <v>13.84</v>
      </c>
      <c r="B1232" s="23">
        <v>13.97</v>
      </c>
      <c r="C1232" s="81">
        <v>6120</v>
      </c>
      <c r="D1232" s="81">
        <v>1</v>
      </c>
      <c r="E1232" s="70">
        <v>1</v>
      </c>
      <c r="F1232" s="81" t="s">
        <v>260</v>
      </c>
      <c r="G1232" s="81" t="s">
        <v>246</v>
      </c>
      <c r="H1232" s="81">
        <v>1976</v>
      </c>
      <c r="I1232" s="81" t="s">
        <v>247</v>
      </c>
    </row>
    <row r="1233" spans="1:9" x14ac:dyDescent="0.3">
      <c r="A1233" s="23">
        <v>13.87</v>
      </c>
      <c r="B1233" s="23">
        <v>14.64</v>
      </c>
      <c r="C1233" s="81">
        <v>6120</v>
      </c>
      <c r="D1233" s="81">
        <v>1</v>
      </c>
      <c r="E1233" s="70">
        <v>1</v>
      </c>
      <c r="F1233" s="81" t="s">
        <v>260</v>
      </c>
      <c r="G1233" s="81" t="s">
        <v>246</v>
      </c>
      <c r="H1233" s="81">
        <v>1976</v>
      </c>
      <c r="I1233" s="81" t="s">
        <v>247</v>
      </c>
    </row>
    <row r="1234" spans="1:9" x14ac:dyDescent="0.3">
      <c r="A1234" s="23">
        <v>13.9</v>
      </c>
      <c r="B1234" s="23">
        <v>13.66</v>
      </c>
      <c r="C1234" s="81">
        <v>6120</v>
      </c>
      <c r="D1234" s="81">
        <v>1</v>
      </c>
      <c r="E1234" s="70">
        <v>1</v>
      </c>
      <c r="F1234" s="81" t="s">
        <v>260</v>
      </c>
      <c r="G1234" s="81" t="s">
        <v>246</v>
      </c>
      <c r="H1234" s="81">
        <v>1976</v>
      </c>
      <c r="I1234" s="81" t="s">
        <v>247</v>
      </c>
    </row>
    <row r="1235" spans="1:9" x14ac:dyDescent="0.3">
      <c r="A1235" s="23">
        <v>13.9</v>
      </c>
      <c r="B1235" s="23">
        <v>13.86</v>
      </c>
      <c r="C1235" s="81">
        <v>6120</v>
      </c>
      <c r="D1235" s="81">
        <v>1</v>
      </c>
      <c r="E1235" s="70">
        <v>1</v>
      </c>
      <c r="F1235" s="81" t="s">
        <v>260</v>
      </c>
      <c r="G1235" s="81" t="s">
        <v>246</v>
      </c>
      <c r="H1235" s="81">
        <v>1976</v>
      </c>
      <c r="I1235" s="81" t="s">
        <v>247</v>
      </c>
    </row>
    <row r="1236" spans="1:9" x14ac:dyDescent="0.3">
      <c r="A1236" s="23">
        <v>15.74</v>
      </c>
      <c r="B1236" s="23">
        <v>15.6</v>
      </c>
      <c r="C1236" s="81">
        <v>6120</v>
      </c>
      <c r="D1236" s="81">
        <v>1</v>
      </c>
      <c r="E1236" s="70">
        <v>1</v>
      </c>
      <c r="F1236" s="81" t="s">
        <v>260</v>
      </c>
      <c r="G1236" s="81" t="s">
        <v>246</v>
      </c>
      <c r="H1236" s="81">
        <v>1976</v>
      </c>
      <c r="I1236" s="81" t="s">
        <v>247</v>
      </c>
    </row>
    <row r="1237" spans="1:9" x14ac:dyDescent="0.3">
      <c r="A1237" s="23">
        <v>-0.93</v>
      </c>
      <c r="B1237" s="23">
        <v>9.1</v>
      </c>
      <c r="C1237" s="81">
        <v>6120</v>
      </c>
      <c r="D1237" s="81">
        <v>1</v>
      </c>
      <c r="E1237" s="70">
        <v>2</v>
      </c>
      <c r="F1237" s="81" t="s">
        <v>260</v>
      </c>
      <c r="G1237" s="81" t="s">
        <v>246</v>
      </c>
      <c r="H1237" s="81">
        <v>1976</v>
      </c>
      <c r="I1237" s="81" t="s">
        <v>247</v>
      </c>
    </row>
    <row r="1238" spans="1:9" x14ac:dyDescent="0.3">
      <c r="A1238" s="23">
        <v>-0.92</v>
      </c>
      <c r="B1238" s="23">
        <v>6.12</v>
      </c>
      <c r="C1238" s="81">
        <v>6120</v>
      </c>
      <c r="D1238" s="81">
        <v>1</v>
      </c>
      <c r="E1238" s="70">
        <v>2</v>
      </c>
      <c r="F1238" s="81" t="s">
        <v>260</v>
      </c>
      <c r="G1238" s="81" t="s">
        <v>246</v>
      </c>
      <c r="H1238" s="81">
        <v>1976</v>
      </c>
      <c r="I1238" s="81" t="s">
        <v>247</v>
      </c>
    </row>
    <row r="1239" spans="1:9" x14ac:dyDescent="0.3">
      <c r="A1239" s="23">
        <v>-0.88</v>
      </c>
      <c r="B1239" s="23">
        <v>4.13</v>
      </c>
      <c r="C1239" s="81">
        <v>6120</v>
      </c>
      <c r="D1239" s="81">
        <v>1</v>
      </c>
      <c r="E1239" s="70">
        <v>2</v>
      </c>
      <c r="F1239" s="81" t="s">
        <v>260</v>
      </c>
      <c r="G1239" s="81" t="s">
        <v>246</v>
      </c>
      <c r="H1239" s="81">
        <v>1976</v>
      </c>
      <c r="I1239" s="81" t="s">
        <v>247</v>
      </c>
    </row>
    <row r="1240" spans="1:9" x14ac:dyDescent="0.3">
      <c r="A1240" s="23">
        <v>1.0900000000000001</v>
      </c>
      <c r="B1240" s="23">
        <v>8.11</v>
      </c>
      <c r="C1240" s="81">
        <v>6120</v>
      </c>
      <c r="D1240" s="81">
        <v>1</v>
      </c>
      <c r="E1240" s="70">
        <v>2</v>
      </c>
      <c r="F1240" s="81" t="s">
        <v>260</v>
      </c>
      <c r="G1240" s="81" t="s">
        <v>246</v>
      </c>
      <c r="H1240" s="81">
        <v>1976</v>
      </c>
      <c r="I1240" s="81" t="s">
        <v>247</v>
      </c>
    </row>
    <row r="1241" spans="1:9" x14ac:dyDescent="0.3">
      <c r="A1241" s="23">
        <v>1.1399999999999999</v>
      </c>
      <c r="B1241" s="23">
        <v>11.12</v>
      </c>
      <c r="C1241" s="81">
        <v>6120</v>
      </c>
      <c r="D1241" s="81">
        <v>1</v>
      </c>
      <c r="E1241" s="70">
        <v>2</v>
      </c>
      <c r="F1241" s="81" t="s">
        <v>260</v>
      </c>
      <c r="G1241" s="81" t="s">
        <v>246</v>
      </c>
      <c r="H1241" s="81">
        <v>1976</v>
      </c>
      <c r="I1241" s="81" t="s">
        <v>247</v>
      </c>
    </row>
    <row r="1242" spans="1:9" x14ac:dyDescent="0.3">
      <c r="A1242" s="23">
        <v>2.08</v>
      </c>
      <c r="B1242" s="23">
        <v>8.08</v>
      </c>
      <c r="C1242" s="81">
        <v>6120</v>
      </c>
      <c r="D1242" s="81">
        <v>1</v>
      </c>
      <c r="E1242" s="70">
        <v>2</v>
      </c>
      <c r="F1242" s="81" t="s">
        <v>260</v>
      </c>
      <c r="G1242" s="81" t="s">
        <v>246</v>
      </c>
      <c r="H1242" s="81">
        <v>1976</v>
      </c>
      <c r="I1242" s="81" t="s">
        <v>247</v>
      </c>
    </row>
    <row r="1243" spans="1:9" x14ac:dyDescent="0.3">
      <c r="A1243" s="23">
        <v>2.12</v>
      </c>
      <c r="B1243" s="23">
        <v>9.0299999999999994</v>
      </c>
      <c r="C1243" s="81">
        <v>6120</v>
      </c>
      <c r="D1243" s="81">
        <v>1</v>
      </c>
      <c r="E1243" s="70">
        <v>2</v>
      </c>
      <c r="F1243" s="81" t="s">
        <v>260</v>
      </c>
      <c r="G1243" s="81" t="s">
        <v>246</v>
      </c>
      <c r="H1243" s="81">
        <v>1976</v>
      </c>
      <c r="I1243" s="81" t="s">
        <v>247</v>
      </c>
    </row>
    <row r="1244" spans="1:9" x14ac:dyDescent="0.3">
      <c r="A1244" s="23">
        <v>2.14</v>
      </c>
      <c r="B1244" s="23">
        <v>11.03</v>
      </c>
      <c r="C1244" s="81">
        <v>6120</v>
      </c>
      <c r="D1244" s="81">
        <v>1</v>
      </c>
      <c r="E1244" s="70">
        <v>2</v>
      </c>
      <c r="F1244" s="81" t="s">
        <v>260</v>
      </c>
      <c r="G1244" s="81" t="s">
        <v>246</v>
      </c>
      <c r="H1244" s="81">
        <v>1976</v>
      </c>
      <c r="I1244" s="81" t="s">
        <v>247</v>
      </c>
    </row>
    <row r="1245" spans="1:9" x14ac:dyDescent="0.3">
      <c r="A1245" s="23">
        <v>2.14</v>
      </c>
      <c r="B1245" s="23">
        <v>11.29</v>
      </c>
      <c r="C1245" s="81">
        <v>6120</v>
      </c>
      <c r="D1245" s="81">
        <v>1</v>
      </c>
      <c r="E1245" s="70">
        <v>2</v>
      </c>
      <c r="F1245" s="81" t="s">
        <v>260</v>
      </c>
      <c r="G1245" s="81" t="s">
        <v>246</v>
      </c>
      <c r="H1245" s="81">
        <v>1976</v>
      </c>
      <c r="I1245" s="81" t="s">
        <v>247</v>
      </c>
    </row>
    <row r="1246" spans="1:9" x14ac:dyDescent="0.3">
      <c r="A1246" s="23">
        <v>2.14</v>
      </c>
      <c r="B1246" s="23">
        <v>12.15</v>
      </c>
      <c r="C1246" s="81">
        <v>6120</v>
      </c>
      <c r="D1246" s="81">
        <v>1</v>
      </c>
      <c r="E1246" s="70">
        <v>2</v>
      </c>
      <c r="F1246" s="81" t="s">
        <v>260</v>
      </c>
      <c r="G1246" s="81" t="s">
        <v>246</v>
      </c>
      <c r="H1246" s="81">
        <v>1976</v>
      </c>
      <c r="I1246" s="81" t="s">
        <v>247</v>
      </c>
    </row>
    <row r="1247" spans="1:9" x14ac:dyDescent="0.3">
      <c r="A1247" s="23">
        <v>2.15</v>
      </c>
      <c r="B1247" s="23">
        <v>5.13</v>
      </c>
      <c r="C1247" s="81">
        <v>6120</v>
      </c>
      <c r="D1247" s="81">
        <v>1</v>
      </c>
      <c r="E1247" s="70">
        <v>2</v>
      </c>
      <c r="F1247" s="81" t="s">
        <v>260</v>
      </c>
      <c r="G1247" s="81" t="s">
        <v>246</v>
      </c>
      <c r="H1247" s="81">
        <v>1976</v>
      </c>
      <c r="I1247" s="81" t="s">
        <v>247</v>
      </c>
    </row>
    <row r="1248" spans="1:9" x14ac:dyDescent="0.3">
      <c r="A1248" s="23">
        <v>2.1800000000000002</v>
      </c>
      <c r="B1248" s="23">
        <v>12.24</v>
      </c>
      <c r="C1248" s="81">
        <v>6120</v>
      </c>
      <c r="D1248" s="81">
        <v>1</v>
      </c>
      <c r="E1248" s="70">
        <v>2</v>
      </c>
      <c r="F1248" s="81" t="s">
        <v>260</v>
      </c>
      <c r="G1248" s="81" t="s">
        <v>246</v>
      </c>
      <c r="H1248" s="81">
        <v>1976</v>
      </c>
      <c r="I1248" s="81" t="s">
        <v>247</v>
      </c>
    </row>
    <row r="1249" spans="1:9" x14ac:dyDescent="0.3">
      <c r="A1249" s="23">
        <v>2.2599999999999998</v>
      </c>
      <c r="B1249" s="23">
        <v>11.2</v>
      </c>
      <c r="C1249" s="81">
        <v>6120</v>
      </c>
      <c r="D1249" s="81">
        <v>1</v>
      </c>
      <c r="E1249" s="70">
        <v>2</v>
      </c>
      <c r="F1249" s="81" t="s">
        <v>260</v>
      </c>
      <c r="G1249" s="81" t="s">
        <v>246</v>
      </c>
      <c r="H1249" s="81">
        <v>1976</v>
      </c>
      <c r="I1249" s="81" t="s">
        <v>247</v>
      </c>
    </row>
    <row r="1250" spans="1:9" x14ac:dyDescent="0.3">
      <c r="A1250" s="23">
        <v>2.2999999999999998</v>
      </c>
      <c r="B1250" s="23">
        <v>12.21</v>
      </c>
      <c r="C1250" s="81">
        <v>6120</v>
      </c>
      <c r="D1250" s="81">
        <v>1</v>
      </c>
      <c r="E1250" s="70">
        <v>2</v>
      </c>
      <c r="F1250" s="81" t="s">
        <v>260</v>
      </c>
      <c r="G1250" s="81" t="s">
        <v>246</v>
      </c>
      <c r="H1250" s="81">
        <v>1976</v>
      </c>
      <c r="I1250" s="81" t="s">
        <v>247</v>
      </c>
    </row>
    <row r="1251" spans="1:9" x14ac:dyDescent="0.3">
      <c r="A1251" s="23">
        <v>3.11</v>
      </c>
      <c r="B1251" s="23">
        <v>4.1399999999999997</v>
      </c>
      <c r="C1251" s="81">
        <v>6120</v>
      </c>
      <c r="D1251" s="81">
        <v>1</v>
      </c>
      <c r="E1251" s="70">
        <v>2</v>
      </c>
      <c r="F1251" s="81" t="s">
        <v>260</v>
      </c>
      <c r="G1251" s="81" t="s">
        <v>246</v>
      </c>
      <c r="H1251" s="81">
        <v>1976</v>
      </c>
      <c r="I1251" s="81" t="s">
        <v>247</v>
      </c>
    </row>
    <row r="1252" spans="1:9" x14ac:dyDescent="0.3">
      <c r="A1252" s="23">
        <v>3.13</v>
      </c>
      <c r="B1252" s="23">
        <v>11.19</v>
      </c>
      <c r="C1252" s="81">
        <v>6120</v>
      </c>
      <c r="D1252" s="81">
        <v>1</v>
      </c>
      <c r="E1252" s="70">
        <v>2</v>
      </c>
      <c r="F1252" s="81" t="s">
        <v>260</v>
      </c>
      <c r="G1252" s="81" t="s">
        <v>246</v>
      </c>
      <c r="H1252" s="81">
        <v>1976</v>
      </c>
      <c r="I1252" s="81" t="s">
        <v>247</v>
      </c>
    </row>
    <row r="1253" spans="1:9" x14ac:dyDescent="0.3">
      <c r="A1253" s="23">
        <v>3.13</v>
      </c>
      <c r="B1253" s="23">
        <v>14.09</v>
      </c>
      <c r="C1253" s="81">
        <v>6120</v>
      </c>
      <c r="D1253" s="81">
        <v>1</v>
      </c>
      <c r="E1253" s="70">
        <v>2</v>
      </c>
      <c r="F1253" s="81" t="s">
        <v>260</v>
      </c>
      <c r="G1253" s="81" t="s">
        <v>246</v>
      </c>
      <c r="H1253" s="81">
        <v>1976</v>
      </c>
      <c r="I1253" s="81" t="s">
        <v>247</v>
      </c>
    </row>
    <row r="1254" spans="1:9" x14ac:dyDescent="0.3">
      <c r="A1254" s="23">
        <v>3.14</v>
      </c>
      <c r="B1254" s="23">
        <v>11.37</v>
      </c>
      <c r="C1254" s="81">
        <v>6120</v>
      </c>
      <c r="D1254" s="81">
        <v>1</v>
      </c>
      <c r="E1254" s="70">
        <v>2</v>
      </c>
      <c r="F1254" s="81" t="s">
        <v>260</v>
      </c>
      <c r="G1254" s="81" t="s">
        <v>246</v>
      </c>
      <c r="H1254" s="81">
        <v>1976</v>
      </c>
      <c r="I1254" s="81" t="s">
        <v>247</v>
      </c>
    </row>
    <row r="1255" spans="1:9" x14ac:dyDescent="0.3">
      <c r="A1255" s="23">
        <v>3.15</v>
      </c>
      <c r="B1255" s="23">
        <v>5.12</v>
      </c>
      <c r="C1255" s="81">
        <v>6120</v>
      </c>
      <c r="D1255" s="81">
        <v>1</v>
      </c>
      <c r="E1255" s="70">
        <v>2</v>
      </c>
      <c r="F1255" s="81" t="s">
        <v>260</v>
      </c>
      <c r="G1255" s="81" t="s">
        <v>246</v>
      </c>
      <c r="H1255" s="81">
        <v>1976</v>
      </c>
      <c r="I1255" s="81" t="s">
        <v>247</v>
      </c>
    </row>
    <row r="1256" spans="1:9" x14ac:dyDescent="0.3">
      <c r="A1256" s="23">
        <v>3.15</v>
      </c>
      <c r="B1256" s="23">
        <v>9.14</v>
      </c>
      <c r="C1256" s="81">
        <v>6120</v>
      </c>
      <c r="D1256" s="81">
        <v>1</v>
      </c>
      <c r="E1256" s="70">
        <v>2</v>
      </c>
      <c r="F1256" s="81" t="s">
        <v>260</v>
      </c>
      <c r="G1256" s="81" t="s">
        <v>246</v>
      </c>
      <c r="H1256" s="81">
        <v>1976</v>
      </c>
      <c r="I1256" s="81" t="s">
        <v>247</v>
      </c>
    </row>
    <row r="1257" spans="1:9" x14ac:dyDescent="0.3">
      <c r="A1257" s="23">
        <v>3.15</v>
      </c>
      <c r="B1257" s="23">
        <v>9.34</v>
      </c>
      <c r="C1257" s="81">
        <v>6120</v>
      </c>
      <c r="D1257" s="81">
        <v>1</v>
      </c>
      <c r="E1257" s="70">
        <v>2</v>
      </c>
      <c r="F1257" s="81" t="s">
        <v>260</v>
      </c>
      <c r="G1257" s="81" t="s">
        <v>246</v>
      </c>
      <c r="H1257" s="81">
        <v>1976</v>
      </c>
      <c r="I1257" s="81" t="s">
        <v>247</v>
      </c>
    </row>
    <row r="1258" spans="1:9" x14ac:dyDescent="0.3">
      <c r="A1258" s="23">
        <v>3.17</v>
      </c>
      <c r="B1258" s="23">
        <v>8.1</v>
      </c>
      <c r="C1258" s="81">
        <v>6120</v>
      </c>
      <c r="D1258" s="81">
        <v>1</v>
      </c>
      <c r="E1258" s="70">
        <v>2</v>
      </c>
      <c r="F1258" s="81" t="s">
        <v>260</v>
      </c>
      <c r="G1258" s="81" t="s">
        <v>246</v>
      </c>
      <c r="H1258" s="81">
        <v>1976</v>
      </c>
      <c r="I1258" s="81" t="s">
        <v>247</v>
      </c>
    </row>
    <row r="1259" spans="1:9" x14ac:dyDescent="0.3">
      <c r="A1259" s="23">
        <v>3.17</v>
      </c>
      <c r="B1259" s="23">
        <v>8.27</v>
      </c>
      <c r="C1259" s="81">
        <v>6120</v>
      </c>
      <c r="D1259" s="81">
        <v>1</v>
      </c>
      <c r="E1259" s="70">
        <v>2</v>
      </c>
      <c r="F1259" s="81" t="s">
        <v>260</v>
      </c>
      <c r="G1259" s="81" t="s">
        <v>246</v>
      </c>
      <c r="H1259" s="81">
        <v>1976</v>
      </c>
      <c r="I1259" s="81" t="s">
        <v>247</v>
      </c>
    </row>
    <row r="1260" spans="1:9" x14ac:dyDescent="0.3">
      <c r="A1260" s="23">
        <v>3.17</v>
      </c>
      <c r="B1260" s="23">
        <v>12.12</v>
      </c>
      <c r="C1260" s="81">
        <v>6120</v>
      </c>
      <c r="D1260" s="81">
        <v>1</v>
      </c>
      <c r="E1260" s="70">
        <v>2</v>
      </c>
      <c r="F1260" s="81" t="s">
        <v>260</v>
      </c>
      <c r="G1260" s="81" t="s">
        <v>246</v>
      </c>
      <c r="H1260" s="81">
        <v>1976</v>
      </c>
      <c r="I1260" s="81" t="s">
        <v>247</v>
      </c>
    </row>
    <row r="1261" spans="1:9" x14ac:dyDescent="0.3">
      <c r="A1261" s="23">
        <v>3.2</v>
      </c>
      <c r="B1261" s="23">
        <v>11.28</v>
      </c>
      <c r="C1261" s="81">
        <v>6120</v>
      </c>
      <c r="D1261" s="81">
        <v>1</v>
      </c>
      <c r="E1261" s="70">
        <v>2</v>
      </c>
      <c r="F1261" s="81" t="s">
        <v>260</v>
      </c>
      <c r="G1261" s="81" t="s">
        <v>246</v>
      </c>
      <c r="H1261" s="81">
        <v>1976</v>
      </c>
      <c r="I1261" s="81" t="s">
        <v>247</v>
      </c>
    </row>
    <row r="1262" spans="1:9" x14ac:dyDescent="0.3">
      <c r="A1262" s="23">
        <v>3.2</v>
      </c>
      <c r="B1262" s="23">
        <v>16.079999999999998</v>
      </c>
      <c r="C1262" s="81">
        <v>6120</v>
      </c>
      <c r="D1262" s="81">
        <v>1</v>
      </c>
      <c r="E1262" s="70">
        <v>2</v>
      </c>
      <c r="F1262" s="81" t="s">
        <v>260</v>
      </c>
      <c r="G1262" s="81" t="s">
        <v>246</v>
      </c>
      <c r="H1262" s="81">
        <v>1976</v>
      </c>
      <c r="I1262" s="81" t="s">
        <v>247</v>
      </c>
    </row>
    <row r="1263" spans="1:9" x14ac:dyDescent="0.3">
      <c r="A1263" s="23">
        <v>3.23</v>
      </c>
      <c r="B1263" s="23">
        <v>12.12</v>
      </c>
      <c r="C1263" s="81">
        <v>6120</v>
      </c>
      <c r="D1263" s="81">
        <v>1</v>
      </c>
      <c r="E1263" s="70">
        <v>2</v>
      </c>
      <c r="F1263" s="81" t="s">
        <v>260</v>
      </c>
      <c r="G1263" s="81" t="s">
        <v>246</v>
      </c>
      <c r="H1263" s="81">
        <v>1976</v>
      </c>
      <c r="I1263" s="81" t="s">
        <v>247</v>
      </c>
    </row>
    <row r="1264" spans="1:9" x14ac:dyDescent="0.3">
      <c r="A1264" s="23">
        <v>3.23</v>
      </c>
      <c r="B1264" s="23">
        <v>12.12</v>
      </c>
      <c r="C1264" s="81">
        <v>6120</v>
      </c>
      <c r="D1264" s="81">
        <v>1</v>
      </c>
      <c r="E1264" s="70">
        <v>2</v>
      </c>
      <c r="F1264" s="81" t="s">
        <v>260</v>
      </c>
      <c r="G1264" s="81" t="s">
        <v>246</v>
      </c>
      <c r="H1264" s="81">
        <v>1976</v>
      </c>
      <c r="I1264" s="81" t="s">
        <v>247</v>
      </c>
    </row>
    <row r="1265" spans="1:9" x14ac:dyDescent="0.3">
      <c r="A1265" s="23">
        <v>3.24</v>
      </c>
      <c r="B1265" s="23">
        <v>9.14</v>
      </c>
      <c r="C1265" s="81">
        <v>6120</v>
      </c>
      <c r="D1265" s="81">
        <v>1</v>
      </c>
      <c r="E1265" s="70">
        <v>2</v>
      </c>
      <c r="F1265" s="81" t="s">
        <v>260</v>
      </c>
      <c r="G1265" s="81" t="s">
        <v>246</v>
      </c>
      <c r="H1265" s="81">
        <v>1976</v>
      </c>
      <c r="I1265" s="81" t="s">
        <v>247</v>
      </c>
    </row>
    <row r="1266" spans="1:9" x14ac:dyDescent="0.3">
      <c r="A1266" s="23">
        <v>3.24</v>
      </c>
      <c r="B1266" s="23">
        <v>9.14</v>
      </c>
      <c r="C1266" s="81">
        <v>6120</v>
      </c>
      <c r="D1266" s="81">
        <v>1</v>
      </c>
      <c r="E1266" s="70">
        <v>2</v>
      </c>
      <c r="F1266" s="81" t="s">
        <v>260</v>
      </c>
      <c r="G1266" s="81" t="s">
        <v>246</v>
      </c>
      <c r="H1266" s="81">
        <v>1976</v>
      </c>
      <c r="I1266" s="81" t="s">
        <v>247</v>
      </c>
    </row>
    <row r="1267" spans="1:9" x14ac:dyDescent="0.3">
      <c r="A1267" s="23">
        <v>3.29</v>
      </c>
      <c r="B1267" s="23">
        <v>8.1300000000000008</v>
      </c>
      <c r="C1267" s="81">
        <v>6120</v>
      </c>
      <c r="D1267" s="81">
        <v>1</v>
      </c>
      <c r="E1267" s="70">
        <v>2</v>
      </c>
      <c r="F1267" s="81" t="s">
        <v>260</v>
      </c>
      <c r="G1267" s="81" t="s">
        <v>246</v>
      </c>
      <c r="H1267" s="81">
        <v>1976</v>
      </c>
      <c r="I1267" s="81" t="s">
        <v>247</v>
      </c>
    </row>
    <row r="1268" spans="1:9" x14ac:dyDescent="0.3">
      <c r="A1268" s="23">
        <v>3.29</v>
      </c>
      <c r="B1268" s="23">
        <v>8.27</v>
      </c>
      <c r="C1268" s="81">
        <v>6120</v>
      </c>
      <c r="D1268" s="81">
        <v>1</v>
      </c>
      <c r="E1268" s="70">
        <v>2</v>
      </c>
      <c r="F1268" s="81" t="s">
        <v>260</v>
      </c>
      <c r="G1268" s="81" t="s">
        <v>246</v>
      </c>
      <c r="H1268" s="81">
        <v>1976</v>
      </c>
      <c r="I1268" s="81" t="s">
        <v>247</v>
      </c>
    </row>
    <row r="1269" spans="1:9" x14ac:dyDescent="0.3">
      <c r="A1269" s="23">
        <v>3.29</v>
      </c>
      <c r="B1269" s="23">
        <v>11.11</v>
      </c>
      <c r="C1269" s="81">
        <v>6120</v>
      </c>
      <c r="D1269" s="81">
        <v>1</v>
      </c>
      <c r="E1269" s="70">
        <v>2</v>
      </c>
      <c r="F1269" s="81" t="s">
        <v>260</v>
      </c>
      <c r="G1269" s="81" t="s">
        <v>246</v>
      </c>
      <c r="H1269" s="81">
        <v>1976</v>
      </c>
      <c r="I1269" s="81" t="s">
        <v>247</v>
      </c>
    </row>
    <row r="1270" spans="1:9" x14ac:dyDescent="0.3">
      <c r="A1270" s="23">
        <v>3.29</v>
      </c>
      <c r="B1270" s="23">
        <v>11.22</v>
      </c>
      <c r="C1270" s="81">
        <v>6120</v>
      </c>
      <c r="D1270" s="81">
        <v>1</v>
      </c>
      <c r="E1270" s="70">
        <v>2</v>
      </c>
      <c r="F1270" s="81" t="s">
        <v>260</v>
      </c>
      <c r="G1270" s="81" t="s">
        <v>246</v>
      </c>
      <c r="H1270" s="81">
        <v>1976</v>
      </c>
      <c r="I1270" s="81" t="s">
        <v>247</v>
      </c>
    </row>
    <row r="1271" spans="1:9" x14ac:dyDescent="0.3">
      <c r="A1271" s="23">
        <v>4.0599999999999996</v>
      </c>
      <c r="B1271" s="23">
        <v>13.13</v>
      </c>
      <c r="C1271" s="81">
        <v>6120</v>
      </c>
      <c r="D1271" s="81">
        <v>1</v>
      </c>
      <c r="E1271" s="70">
        <v>2</v>
      </c>
      <c r="F1271" s="81" t="s">
        <v>260</v>
      </c>
      <c r="G1271" s="81" t="s">
        <v>246</v>
      </c>
      <c r="H1271" s="81">
        <v>1976</v>
      </c>
      <c r="I1271" s="81" t="s">
        <v>247</v>
      </c>
    </row>
    <row r="1272" spans="1:9" x14ac:dyDescent="0.3">
      <c r="A1272" s="23">
        <v>4.0999999999999996</v>
      </c>
      <c r="B1272" s="23">
        <v>11.1</v>
      </c>
      <c r="C1272" s="81">
        <v>6120</v>
      </c>
      <c r="D1272" s="81">
        <v>1</v>
      </c>
      <c r="E1272" s="70">
        <v>2</v>
      </c>
      <c r="F1272" s="81" t="s">
        <v>260</v>
      </c>
      <c r="G1272" s="81" t="s">
        <v>246</v>
      </c>
      <c r="H1272" s="81">
        <v>1976</v>
      </c>
      <c r="I1272" s="81" t="s">
        <v>247</v>
      </c>
    </row>
    <row r="1273" spans="1:9" x14ac:dyDescent="0.3">
      <c r="A1273" s="23">
        <v>4.1500000000000004</v>
      </c>
      <c r="B1273" s="23">
        <v>5</v>
      </c>
      <c r="C1273" s="81">
        <v>6120</v>
      </c>
      <c r="D1273" s="81">
        <v>1</v>
      </c>
      <c r="E1273" s="70">
        <v>2</v>
      </c>
      <c r="F1273" s="81" t="s">
        <v>260</v>
      </c>
      <c r="G1273" s="81" t="s">
        <v>246</v>
      </c>
      <c r="H1273" s="81">
        <v>1976</v>
      </c>
      <c r="I1273" s="81" t="s">
        <v>247</v>
      </c>
    </row>
    <row r="1274" spans="1:9" x14ac:dyDescent="0.3">
      <c r="A1274" s="23">
        <v>4.1500000000000004</v>
      </c>
      <c r="B1274" s="23">
        <v>5.2</v>
      </c>
      <c r="C1274" s="81">
        <v>6120</v>
      </c>
      <c r="D1274" s="81">
        <v>1</v>
      </c>
      <c r="E1274" s="70">
        <v>2</v>
      </c>
      <c r="F1274" s="81" t="s">
        <v>260</v>
      </c>
      <c r="G1274" s="81" t="s">
        <v>246</v>
      </c>
      <c r="H1274" s="81">
        <v>1976</v>
      </c>
      <c r="I1274" s="81" t="s">
        <v>247</v>
      </c>
    </row>
    <row r="1275" spans="1:9" x14ac:dyDescent="0.3">
      <c r="A1275" s="23">
        <v>4.1500000000000004</v>
      </c>
      <c r="B1275" s="23">
        <v>9.08</v>
      </c>
      <c r="C1275" s="81">
        <v>6120</v>
      </c>
      <c r="D1275" s="81">
        <v>1</v>
      </c>
      <c r="E1275" s="70">
        <v>2</v>
      </c>
      <c r="F1275" s="81" t="s">
        <v>260</v>
      </c>
      <c r="G1275" s="81" t="s">
        <v>246</v>
      </c>
      <c r="H1275" s="81">
        <v>1976</v>
      </c>
      <c r="I1275" s="81" t="s">
        <v>247</v>
      </c>
    </row>
    <row r="1276" spans="1:9" x14ac:dyDescent="0.3">
      <c r="A1276" s="23">
        <v>4.18</v>
      </c>
      <c r="B1276" s="23">
        <v>13.13</v>
      </c>
      <c r="C1276" s="81">
        <v>6120</v>
      </c>
      <c r="D1276" s="81">
        <v>1</v>
      </c>
      <c r="E1276" s="70">
        <v>2</v>
      </c>
      <c r="F1276" s="81" t="s">
        <v>260</v>
      </c>
      <c r="G1276" s="81" t="s">
        <v>246</v>
      </c>
      <c r="H1276" s="81">
        <v>1976</v>
      </c>
      <c r="I1276" s="81" t="s">
        <v>247</v>
      </c>
    </row>
    <row r="1277" spans="1:9" x14ac:dyDescent="0.3">
      <c r="A1277" s="23">
        <v>4.18</v>
      </c>
      <c r="B1277" s="23">
        <v>13.13</v>
      </c>
      <c r="C1277" s="81">
        <v>6120</v>
      </c>
      <c r="D1277" s="81">
        <v>1</v>
      </c>
      <c r="E1277" s="70">
        <v>2</v>
      </c>
      <c r="F1277" s="81" t="s">
        <v>260</v>
      </c>
      <c r="G1277" s="81" t="s">
        <v>246</v>
      </c>
      <c r="H1277" s="81">
        <v>1976</v>
      </c>
      <c r="I1277" s="81" t="s">
        <v>247</v>
      </c>
    </row>
    <row r="1278" spans="1:9" x14ac:dyDescent="0.3">
      <c r="A1278" s="23">
        <v>4.18</v>
      </c>
      <c r="B1278" s="23">
        <v>14.14</v>
      </c>
      <c r="C1278" s="81">
        <v>6120</v>
      </c>
      <c r="D1278" s="81">
        <v>1</v>
      </c>
      <c r="E1278" s="70">
        <v>2</v>
      </c>
      <c r="F1278" s="81" t="s">
        <v>260</v>
      </c>
      <c r="G1278" s="81" t="s">
        <v>246</v>
      </c>
      <c r="H1278" s="81">
        <v>1976</v>
      </c>
      <c r="I1278" s="81" t="s">
        <v>247</v>
      </c>
    </row>
    <row r="1279" spans="1:9" x14ac:dyDescent="0.3">
      <c r="A1279" s="23">
        <v>4.2</v>
      </c>
      <c r="B1279" s="23">
        <v>8.1199999999999992</v>
      </c>
      <c r="C1279" s="81">
        <v>6120</v>
      </c>
      <c r="D1279" s="81">
        <v>1</v>
      </c>
      <c r="E1279" s="70">
        <v>2</v>
      </c>
      <c r="F1279" s="81" t="s">
        <v>260</v>
      </c>
      <c r="G1279" s="81" t="s">
        <v>246</v>
      </c>
      <c r="H1279" s="81">
        <v>1976</v>
      </c>
      <c r="I1279" s="81" t="s">
        <v>247</v>
      </c>
    </row>
    <row r="1280" spans="1:9" x14ac:dyDescent="0.3">
      <c r="A1280" s="23">
        <v>4.2300000000000004</v>
      </c>
      <c r="B1280" s="23">
        <v>8.09</v>
      </c>
      <c r="C1280" s="81">
        <v>6120</v>
      </c>
      <c r="D1280" s="81">
        <v>1</v>
      </c>
      <c r="E1280" s="4">
        <v>2</v>
      </c>
      <c r="F1280" s="81" t="s">
        <v>260</v>
      </c>
      <c r="G1280" s="81" t="s">
        <v>246</v>
      </c>
      <c r="H1280" s="81">
        <v>1976</v>
      </c>
      <c r="I1280" s="81" t="s">
        <v>247</v>
      </c>
    </row>
    <row r="1281" spans="1:9" x14ac:dyDescent="0.3">
      <c r="A1281" s="23">
        <v>4.2300000000000004</v>
      </c>
      <c r="B1281" s="23">
        <v>8.09</v>
      </c>
      <c r="C1281" s="81">
        <v>6120</v>
      </c>
      <c r="D1281" s="81">
        <v>1</v>
      </c>
      <c r="E1281" s="70">
        <v>2</v>
      </c>
      <c r="F1281" s="81" t="s">
        <v>260</v>
      </c>
      <c r="G1281" s="81" t="s">
        <v>246</v>
      </c>
      <c r="H1281" s="81">
        <v>1976</v>
      </c>
      <c r="I1281" s="81" t="s">
        <v>247</v>
      </c>
    </row>
    <row r="1282" spans="1:9" x14ac:dyDescent="0.3">
      <c r="A1282" s="23">
        <v>4.24</v>
      </c>
      <c r="B1282" s="23">
        <v>5.12</v>
      </c>
      <c r="C1282" s="81">
        <v>6120</v>
      </c>
      <c r="D1282" s="81">
        <v>1</v>
      </c>
      <c r="E1282" s="70">
        <v>2</v>
      </c>
      <c r="F1282" s="81" t="s">
        <v>260</v>
      </c>
      <c r="G1282" s="81" t="s">
        <v>246</v>
      </c>
      <c r="H1282" s="81">
        <v>1976</v>
      </c>
      <c r="I1282" s="81" t="s">
        <v>247</v>
      </c>
    </row>
    <row r="1283" spans="1:9" x14ac:dyDescent="0.3">
      <c r="A1283" s="23">
        <v>4.24</v>
      </c>
      <c r="B1283" s="23">
        <v>9.08</v>
      </c>
      <c r="C1283" s="81">
        <v>6120</v>
      </c>
      <c r="D1283" s="81">
        <v>1</v>
      </c>
      <c r="E1283" s="70">
        <v>2</v>
      </c>
      <c r="F1283" s="81" t="s">
        <v>260</v>
      </c>
      <c r="G1283" s="81" t="s">
        <v>246</v>
      </c>
      <c r="H1283" s="81">
        <v>1976</v>
      </c>
      <c r="I1283" s="81" t="s">
        <v>247</v>
      </c>
    </row>
    <row r="1284" spans="1:9" x14ac:dyDescent="0.3">
      <c r="A1284" s="23">
        <v>4.24</v>
      </c>
      <c r="B1284" s="23">
        <v>9.08</v>
      </c>
      <c r="C1284" s="81">
        <v>6120</v>
      </c>
      <c r="D1284" s="81">
        <v>1</v>
      </c>
      <c r="E1284" s="70">
        <v>2</v>
      </c>
      <c r="F1284" s="81" t="s">
        <v>260</v>
      </c>
      <c r="G1284" s="81" t="s">
        <v>246</v>
      </c>
      <c r="H1284" s="81">
        <v>1976</v>
      </c>
      <c r="I1284" s="81" t="s">
        <v>247</v>
      </c>
    </row>
    <row r="1285" spans="1:9" x14ac:dyDescent="0.3">
      <c r="A1285" s="23">
        <v>4.25</v>
      </c>
      <c r="B1285" s="23">
        <v>11.1</v>
      </c>
      <c r="C1285" s="81">
        <v>6120</v>
      </c>
      <c r="D1285" s="81">
        <v>1</v>
      </c>
      <c r="E1285" s="70">
        <v>2</v>
      </c>
      <c r="F1285" s="81" t="s">
        <v>260</v>
      </c>
      <c r="G1285" s="81" t="s">
        <v>246</v>
      </c>
      <c r="H1285" s="81">
        <v>1976</v>
      </c>
      <c r="I1285" s="81" t="s">
        <v>247</v>
      </c>
    </row>
    <row r="1286" spans="1:9" x14ac:dyDescent="0.3">
      <c r="A1286" s="23">
        <v>4.2699999999999996</v>
      </c>
      <c r="B1286" s="23">
        <v>5.26</v>
      </c>
      <c r="C1286" s="81">
        <v>6120</v>
      </c>
      <c r="D1286" s="81">
        <v>1</v>
      </c>
      <c r="E1286" s="70">
        <v>2</v>
      </c>
      <c r="F1286" s="81" t="s">
        <v>260</v>
      </c>
      <c r="G1286" s="81" t="s">
        <v>246</v>
      </c>
      <c r="H1286" s="81">
        <v>1976</v>
      </c>
      <c r="I1286" s="81" t="s">
        <v>247</v>
      </c>
    </row>
    <row r="1287" spans="1:9" x14ac:dyDescent="0.3">
      <c r="A1287" s="23">
        <v>5.0999999999999996</v>
      </c>
      <c r="B1287" s="23">
        <v>7.05</v>
      </c>
      <c r="C1287" s="81">
        <v>6120</v>
      </c>
      <c r="D1287" s="81">
        <v>1</v>
      </c>
      <c r="E1287" s="70">
        <v>2</v>
      </c>
      <c r="F1287" s="81" t="s">
        <v>260</v>
      </c>
      <c r="G1287" s="81" t="s">
        <v>246</v>
      </c>
      <c r="H1287" s="81">
        <v>1976</v>
      </c>
      <c r="I1287" s="81" t="s">
        <v>247</v>
      </c>
    </row>
    <row r="1288" spans="1:9" x14ac:dyDescent="0.3">
      <c r="A1288" s="23">
        <v>5.1100000000000003</v>
      </c>
      <c r="B1288" s="23">
        <v>13.12</v>
      </c>
      <c r="C1288" s="81">
        <v>6120</v>
      </c>
      <c r="D1288" s="81">
        <v>1</v>
      </c>
      <c r="E1288" s="70">
        <v>2</v>
      </c>
      <c r="F1288" s="81" t="s">
        <v>260</v>
      </c>
      <c r="G1288" s="81" t="s">
        <v>246</v>
      </c>
      <c r="H1288" s="81">
        <v>1976</v>
      </c>
      <c r="I1288" s="81" t="s">
        <v>247</v>
      </c>
    </row>
    <row r="1289" spans="1:9" x14ac:dyDescent="0.3">
      <c r="A1289" s="23">
        <v>5.13</v>
      </c>
      <c r="B1289" s="23">
        <v>11.24</v>
      </c>
      <c r="C1289" s="81">
        <v>6120</v>
      </c>
      <c r="D1289" s="81">
        <v>1</v>
      </c>
      <c r="E1289" s="70">
        <v>2</v>
      </c>
      <c r="F1289" s="81" t="s">
        <v>260</v>
      </c>
      <c r="G1289" s="81" t="s">
        <v>246</v>
      </c>
      <c r="H1289" s="81">
        <v>1976</v>
      </c>
      <c r="I1289" s="81" t="s">
        <v>247</v>
      </c>
    </row>
    <row r="1290" spans="1:9" x14ac:dyDescent="0.3">
      <c r="A1290" s="23">
        <v>5.13</v>
      </c>
      <c r="B1290" s="23">
        <v>11.39</v>
      </c>
      <c r="C1290" s="81">
        <v>6120</v>
      </c>
      <c r="D1290" s="81">
        <v>1</v>
      </c>
      <c r="E1290" s="70">
        <v>2</v>
      </c>
      <c r="F1290" s="81" t="s">
        <v>260</v>
      </c>
      <c r="G1290" s="81" t="s">
        <v>246</v>
      </c>
      <c r="H1290" s="81">
        <v>1976</v>
      </c>
      <c r="I1290" s="81" t="s">
        <v>247</v>
      </c>
    </row>
    <row r="1291" spans="1:9" x14ac:dyDescent="0.3">
      <c r="A1291" s="23">
        <v>5.15</v>
      </c>
      <c r="B1291" s="23">
        <v>5.23</v>
      </c>
      <c r="C1291" s="81">
        <v>6120</v>
      </c>
      <c r="D1291" s="81">
        <v>1</v>
      </c>
      <c r="E1291" s="70">
        <v>2</v>
      </c>
      <c r="F1291" s="81" t="s">
        <v>260</v>
      </c>
      <c r="G1291" s="81" t="s">
        <v>246</v>
      </c>
      <c r="H1291" s="81">
        <v>1976</v>
      </c>
      <c r="I1291" s="81" t="s">
        <v>247</v>
      </c>
    </row>
    <row r="1292" spans="1:9" x14ac:dyDescent="0.3">
      <c r="A1292" s="23">
        <v>5.15</v>
      </c>
      <c r="B1292" s="23">
        <v>5.26</v>
      </c>
      <c r="C1292" s="81">
        <v>6120</v>
      </c>
      <c r="D1292" s="81">
        <v>1</v>
      </c>
      <c r="E1292" s="70">
        <v>2</v>
      </c>
      <c r="F1292" s="81" t="s">
        <v>260</v>
      </c>
      <c r="G1292" s="81" t="s">
        <v>246</v>
      </c>
      <c r="H1292" s="81">
        <v>1976</v>
      </c>
      <c r="I1292" s="81" t="s">
        <v>247</v>
      </c>
    </row>
    <row r="1293" spans="1:9" x14ac:dyDescent="0.3">
      <c r="A1293" s="23">
        <v>5.15</v>
      </c>
      <c r="B1293" s="23">
        <v>6.15</v>
      </c>
      <c r="C1293" s="81">
        <v>6120</v>
      </c>
      <c r="D1293" s="81">
        <v>1</v>
      </c>
      <c r="E1293" s="70">
        <v>2</v>
      </c>
      <c r="F1293" s="81" t="s">
        <v>260</v>
      </c>
      <c r="G1293" s="81" t="s">
        <v>246</v>
      </c>
      <c r="H1293" s="81">
        <v>1976</v>
      </c>
      <c r="I1293" s="81" t="s">
        <v>247</v>
      </c>
    </row>
    <row r="1294" spans="1:9" x14ac:dyDescent="0.3">
      <c r="A1294" s="23">
        <v>5.15</v>
      </c>
      <c r="B1294" s="23">
        <v>6.15</v>
      </c>
      <c r="C1294" s="81">
        <v>6120</v>
      </c>
      <c r="D1294" s="81">
        <v>1</v>
      </c>
      <c r="E1294" s="70">
        <v>2</v>
      </c>
      <c r="F1294" s="81" t="s">
        <v>260</v>
      </c>
      <c r="G1294" s="81" t="s">
        <v>246</v>
      </c>
      <c r="H1294" s="81">
        <v>1976</v>
      </c>
      <c r="I1294" s="81" t="s">
        <v>247</v>
      </c>
    </row>
    <row r="1295" spans="1:9" x14ac:dyDescent="0.3">
      <c r="A1295" s="23">
        <v>5.15</v>
      </c>
      <c r="B1295" s="23">
        <v>6.27</v>
      </c>
      <c r="C1295" s="81">
        <v>6120</v>
      </c>
      <c r="D1295" s="81">
        <v>1</v>
      </c>
      <c r="E1295" s="70">
        <v>2</v>
      </c>
      <c r="F1295" s="81" t="s">
        <v>260</v>
      </c>
      <c r="G1295" s="81" t="s">
        <v>246</v>
      </c>
      <c r="H1295" s="81">
        <v>1976</v>
      </c>
      <c r="I1295" s="81" t="s">
        <v>247</v>
      </c>
    </row>
    <row r="1296" spans="1:9" x14ac:dyDescent="0.3">
      <c r="A1296" s="23">
        <v>5.18</v>
      </c>
      <c r="B1296" s="23">
        <v>9.19</v>
      </c>
      <c r="C1296" s="81">
        <v>6120</v>
      </c>
      <c r="D1296" s="81">
        <v>1</v>
      </c>
      <c r="E1296" s="70">
        <v>2</v>
      </c>
      <c r="F1296" s="81" t="s">
        <v>260</v>
      </c>
      <c r="G1296" s="81" t="s">
        <v>246</v>
      </c>
      <c r="H1296" s="81">
        <v>1976</v>
      </c>
      <c r="I1296" s="81" t="s">
        <v>247</v>
      </c>
    </row>
    <row r="1297" spans="1:9" x14ac:dyDescent="0.3">
      <c r="A1297" s="23">
        <v>5.18</v>
      </c>
      <c r="B1297" s="23">
        <v>9.33</v>
      </c>
      <c r="C1297" s="81">
        <v>6120</v>
      </c>
      <c r="D1297" s="81">
        <v>1</v>
      </c>
      <c r="E1297" s="70">
        <v>2</v>
      </c>
      <c r="F1297" s="81" t="s">
        <v>260</v>
      </c>
      <c r="G1297" s="81" t="s">
        <v>246</v>
      </c>
      <c r="H1297" s="81">
        <v>1976</v>
      </c>
      <c r="I1297" s="81" t="s">
        <v>247</v>
      </c>
    </row>
    <row r="1298" spans="1:9" x14ac:dyDescent="0.3">
      <c r="A1298" s="23">
        <v>5.18</v>
      </c>
      <c r="B1298" s="23">
        <v>9.56</v>
      </c>
      <c r="C1298" s="81">
        <v>6120</v>
      </c>
      <c r="D1298" s="81">
        <v>1</v>
      </c>
      <c r="E1298" s="70">
        <v>2</v>
      </c>
      <c r="F1298" s="81" t="s">
        <v>260</v>
      </c>
      <c r="G1298" s="81" t="s">
        <v>246</v>
      </c>
      <c r="H1298" s="81">
        <v>1976</v>
      </c>
      <c r="I1298" s="81" t="s">
        <v>247</v>
      </c>
    </row>
    <row r="1299" spans="1:9" x14ac:dyDescent="0.3">
      <c r="A1299" s="23">
        <v>5.18</v>
      </c>
      <c r="B1299" s="23">
        <v>13.29</v>
      </c>
      <c r="C1299" s="81">
        <v>6120</v>
      </c>
      <c r="D1299" s="81">
        <v>1</v>
      </c>
      <c r="E1299" s="70">
        <v>2</v>
      </c>
      <c r="F1299" s="81" t="s">
        <v>260</v>
      </c>
      <c r="G1299" s="81" t="s">
        <v>246</v>
      </c>
      <c r="H1299" s="81">
        <v>1976</v>
      </c>
      <c r="I1299" s="81" t="s">
        <v>247</v>
      </c>
    </row>
    <row r="1300" spans="1:9" x14ac:dyDescent="0.3">
      <c r="A1300" s="23">
        <v>5.19</v>
      </c>
      <c r="B1300" s="23">
        <v>7.05</v>
      </c>
      <c r="C1300" s="81">
        <v>6120</v>
      </c>
      <c r="D1300" s="81">
        <v>1</v>
      </c>
      <c r="E1300" s="70">
        <v>2</v>
      </c>
      <c r="F1300" s="81" t="s">
        <v>260</v>
      </c>
      <c r="G1300" s="81" t="s">
        <v>246</v>
      </c>
      <c r="H1300" s="81">
        <v>1976</v>
      </c>
      <c r="I1300" s="81" t="s">
        <v>247</v>
      </c>
    </row>
    <row r="1301" spans="1:9" x14ac:dyDescent="0.3">
      <c r="A1301" s="23">
        <v>5.19</v>
      </c>
      <c r="B1301" s="23">
        <v>7.05</v>
      </c>
      <c r="C1301" s="81">
        <v>6120</v>
      </c>
      <c r="D1301" s="81">
        <v>1</v>
      </c>
      <c r="E1301" s="70">
        <v>2</v>
      </c>
      <c r="F1301" s="81" t="s">
        <v>260</v>
      </c>
      <c r="G1301" s="81" t="s">
        <v>246</v>
      </c>
      <c r="H1301" s="81">
        <v>1976</v>
      </c>
      <c r="I1301" s="81" t="s">
        <v>247</v>
      </c>
    </row>
    <row r="1302" spans="1:9" x14ac:dyDescent="0.3">
      <c r="A1302" s="23">
        <v>5.24</v>
      </c>
      <c r="B1302" s="23">
        <v>6.15</v>
      </c>
      <c r="C1302" s="81">
        <v>6120</v>
      </c>
      <c r="D1302" s="81">
        <v>1</v>
      </c>
      <c r="E1302" s="70">
        <v>2</v>
      </c>
      <c r="F1302" s="81" t="s">
        <v>260</v>
      </c>
      <c r="G1302" s="81" t="s">
        <v>246</v>
      </c>
      <c r="H1302" s="81">
        <v>1976</v>
      </c>
      <c r="I1302" s="81" t="s">
        <v>247</v>
      </c>
    </row>
    <row r="1303" spans="1:9" x14ac:dyDescent="0.3">
      <c r="A1303" s="23">
        <v>5.24</v>
      </c>
      <c r="B1303" s="23">
        <v>6.15</v>
      </c>
      <c r="C1303" s="81">
        <v>6120</v>
      </c>
      <c r="D1303" s="81">
        <v>1</v>
      </c>
      <c r="E1303" s="70">
        <v>2</v>
      </c>
      <c r="F1303" s="81" t="s">
        <v>260</v>
      </c>
      <c r="G1303" s="81" t="s">
        <v>246</v>
      </c>
      <c r="H1303" s="81">
        <v>1976</v>
      </c>
      <c r="I1303" s="81" t="s">
        <v>247</v>
      </c>
    </row>
    <row r="1304" spans="1:9" x14ac:dyDescent="0.3">
      <c r="A1304" s="23">
        <v>5.24</v>
      </c>
      <c r="B1304" s="23">
        <v>6.24</v>
      </c>
      <c r="C1304" s="81">
        <v>6120</v>
      </c>
      <c r="D1304" s="81">
        <v>1</v>
      </c>
      <c r="E1304" s="70">
        <v>2</v>
      </c>
      <c r="F1304" s="81" t="s">
        <v>260</v>
      </c>
      <c r="G1304" s="81" t="s">
        <v>246</v>
      </c>
      <c r="H1304" s="81">
        <v>1976</v>
      </c>
      <c r="I1304" s="81" t="s">
        <v>247</v>
      </c>
    </row>
    <row r="1305" spans="1:9" x14ac:dyDescent="0.3">
      <c r="A1305" s="23">
        <v>5.24</v>
      </c>
      <c r="B1305" s="23">
        <v>13.29</v>
      </c>
      <c r="C1305" s="81">
        <v>6120</v>
      </c>
      <c r="D1305" s="81">
        <v>1</v>
      </c>
      <c r="E1305" s="70">
        <v>2</v>
      </c>
      <c r="F1305" s="81" t="s">
        <v>260</v>
      </c>
      <c r="G1305" s="81" t="s">
        <v>246</v>
      </c>
      <c r="H1305" s="81">
        <v>1976</v>
      </c>
      <c r="I1305" s="81" t="s">
        <v>247</v>
      </c>
    </row>
    <row r="1306" spans="1:9" x14ac:dyDescent="0.3">
      <c r="A1306" s="23">
        <v>5.24</v>
      </c>
      <c r="B1306" s="23">
        <v>13.29</v>
      </c>
      <c r="C1306" s="81">
        <v>6120</v>
      </c>
      <c r="D1306" s="81">
        <v>1</v>
      </c>
      <c r="E1306" s="70">
        <v>2</v>
      </c>
      <c r="F1306" s="81" t="s">
        <v>260</v>
      </c>
      <c r="G1306" s="81" t="s">
        <v>246</v>
      </c>
      <c r="H1306" s="81">
        <v>1976</v>
      </c>
      <c r="I1306" s="81" t="s">
        <v>247</v>
      </c>
    </row>
    <row r="1307" spans="1:9" x14ac:dyDescent="0.3">
      <c r="A1307" s="23">
        <v>5.27</v>
      </c>
      <c r="B1307" s="23">
        <v>9.19</v>
      </c>
      <c r="C1307" s="81">
        <v>6120</v>
      </c>
      <c r="D1307" s="81">
        <v>1</v>
      </c>
      <c r="E1307" s="70">
        <v>2</v>
      </c>
      <c r="F1307" s="81" t="s">
        <v>260</v>
      </c>
      <c r="G1307" s="81" t="s">
        <v>246</v>
      </c>
      <c r="H1307" s="81">
        <v>1976</v>
      </c>
      <c r="I1307" s="81" t="s">
        <v>247</v>
      </c>
    </row>
    <row r="1308" spans="1:9" x14ac:dyDescent="0.3">
      <c r="A1308" s="23">
        <v>5.27</v>
      </c>
      <c r="B1308" s="23">
        <v>9.19</v>
      </c>
      <c r="C1308" s="81">
        <v>6120</v>
      </c>
      <c r="D1308" s="81">
        <v>1</v>
      </c>
      <c r="E1308" s="70">
        <v>2</v>
      </c>
      <c r="F1308" s="81" t="s">
        <v>260</v>
      </c>
      <c r="G1308" s="81" t="s">
        <v>246</v>
      </c>
      <c r="H1308" s="81">
        <v>1976</v>
      </c>
      <c r="I1308" s="81" t="s">
        <v>247</v>
      </c>
    </row>
    <row r="1309" spans="1:9" x14ac:dyDescent="0.3">
      <c r="A1309" s="23">
        <v>5.27</v>
      </c>
      <c r="B1309" s="23">
        <v>9.36</v>
      </c>
      <c r="C1309" s="81">
        <v>6120</v>
      </c>
      <c r="D1309" s="81">
        <v>1</v>
      </c>
      <c r="E1309" s="70">
        <v>2</v>
      </c>
      <c r="F1309" s="81" t="s">
        <v>260</v>
      </c>
      <c r="G1309" s="81" t="s">
        <v>246</v>
      </c>
      <c r="H1309" s="81">
        <v>1976</v>
      </c>
      <c r="I1309" s="81" t="s">
        <v>247</v>
      </c>
    </row>
    <row r="1310" spans="1:9" x14ac:dyDescent="0.3">
      <c r="A1310" s="23">
        <v>5.27</v>
      </c>
      <c r="B1310" s="23">
        <v>13.12</v>
      </c>
      <c r="C1310" s="81">
        <v>6120</v>
      </c>
      <c r="D1310" s="81">
        <v>1</v>
      </c>
      <c r="E1310" s="70">
        <v>2</v>
      </c>
      <c r="F1310" s="81" t="s">
        <v>260</v>
      </c>
      <c r="G1310" s="81" t="s">
        <v>246</v>
      </c>
      <c r="H1310" s="81">
        <v>1976</v>
      </c>
      <c r="I1310" s="81" t="s">
        <v>247</v>
      </c>
    </row>
    <row r="1311" spans="1:9" x14ac:dyDescent="0.3">
      <c r="A1311" s="23">
        <v>5.3</v>
      </c>
      <c r="B1311" s="23">
        <v>5.2</v>
      </c>
      <c r="C1311" s="81">
        <v>6120</v>
      </c>
      <c r="D1311" s="81">
        <v>1</v>
      </c>
      <c r="E1311" s="70">
        <v>2</v>
      </c>
      <c r="F1311" s="81" t="s">
        <v>260</v>
      </c>
      <c r="G1311" s="81" t="s">
        <v>246</v>
      </c>
      <c r="H1311" s="81">
        <v>1976</v>
      </c>
      <c r="I1311" s="81" t="s">
        <v>247</v>
      </c>
    </row>
    <row r="1312" spans="1:9" x14ac:dyDescent="0.3">
      <c r="A1312" s="23">
        <v>5.31</v>
      </c>
      <c r="B1312" s="23">
        <v>11.21</v>
      </c>
      <c r="C1312" s="81">
        <v>6120</v>
      </c>
      <c r="D1312" s="81">
        <v>1</v>
      </c>
      <c r="E1312" s="70">
        <v>2</v>
      </c>
      <c r="F1312" s="81" t="s">
        <v>260</v>
      </c>
      <c r="G1312" s="81" t="s">
        <v>246</v>
      </c>
      <c r="H1312" s="81">
        <v>1976</v>
      </c>
      <c r="I1312" s="81" t="s">
        <v>247</v>
      </c>
    </row>
    <row r="1313" spans="1:9" x14ac:dyDescent="0.3">
      <c r="A1313" s="23">
        <v>6.11</v>
      </c>
      <c r="B1313" s="23">
        <v>13.09</v>
      </c>
      <c r="C1313" s="81">
        <v>6120</v>
      </c>
      <c r="D1313" s="81">
        <v>1</v>
      </c>
      <c r="E1313" s="70">
        <v>2</v>
      </c>
      <c r="F1313" s="81" t="s">
        <v>260</v>
      </c>
      <c r="G1313" s="81" t="s">
        <v>246</v>
      </c>
      <c r="H1313" s="81">
        <v>1976</v>
      </c>
      <c r="I1313" s="81" t="s">
        <v>247</v>
      </c>
    </row>
    <row r="1314" spans="1:9" x14ac:dyDescent="0.3">
      <c r="A1314" s="23">
        <v>6.13</v>
      </c>
      <c r="B1314" s="23">
        <v>7.13</v>
      </c>
      <c r="C1314" s="81">
        <v>6120</v>
      </c>
      <c r="D1314" s="81">
        <v>1</v>
      </c>
      <c r="E1314" s="70">
        <v>2</v>
      </c>
      <c r="F1314" s="81" t="s">
        <v>260</v>
      </c>
      <c r="G1314" s="81" t="s">
        <v>246</v>
      </c>
      <c r="H1314" s="81">
        <v>1976</v>
      </c>
      <c r="I1314" s="81" t="s">
        <v>247</v>
      </c>
    </row>
    <row r="1315" spans="1:9" x14ac:dyDescent="0.3">
      <c r="A1315" s="23">
        <v>6.13</v>
      </c>
      <c r="B1315" s="23">
        <v>7.28</v>
      </c>
      <c r="C1315" s="81">
        <v>6120</v>
      </c>
      <c r="D1315" s="81">
        <v>1</v>
      </c>
      <c r="E1315" s="70">
        <v>2</v>
      </c>
      <c r="F1315" s="81" t="s">
        <v>260</v>
      </c>
      <c r="G1315" s="81" t="s">
        <v>246</v>
      </c>
      <c r="H1315" s="81">
        <v>1976</v>
      </c>
      <c r="I1315" s="81" t="s">
        <v>247</v>
      </c>
    </row>
    <row r="1316" spans="1:9" x14ac:dyDescent="0.3">
      <c r="A1316" s="23">
        <v>6.13</v>
      </c>
      <c r="B1316" s="23">
        <v>11.12</v>
      </c>
      <c r="C1316" s="81">
        <v>6120</v>
      </c>
      <c r="D1316" s="81">
        <v>1</v>
      </c>
      <c r="E1316" s="70">
        <v>2</v>
      </c>
      <c r="F1316" s="81" t="s">
        <v>260</v>
      </c>
      <c r="G1316" s="81" t="s">
        <v>246</v>
      </c>
      <c r="H1316" s="81">
        <v>1976</v>
      </c>
      <c r="I1316" s="81" t="s">
        <v>247</v>
      </c>
    </row>
    <row r="1317" spans="1:9" x14ac:dyDescent="0.3">
      <c r="A1317" s="23">
        <v>6.15</v>
      </c>
      <c r="B1317" s="23">
        <v>6.15</v>
      </c>
      <c r="C1317" s="81">
        <v>6120</v>
      </c>
      <c r="D1317" s="81">
        <v>1</v>
      </c>
      <c r="E1317" s="70">
        <v>2</v>
      </c>
      <c r="F1317" s="81" t="s">
        <v>260</v>
      </c>
      <c r="G1317" s="81" t="s">
        <v>246</v>
      </c>
      <c r="H1317" s="81">
        <v>1976</v>
      </c>
      <c r="I1317" s="81" t="s">
        <v>247</v>
      </c>
    </row>
    <row r="1318" spans="1:9" x14ac:dyDescent="0.3">
      <c r="A1318" s="23">
        <v>6.15</v>
      </c>
      <c r="B1318" s="23">
        <v>6.32</v>
      </c>
      <c r="C1318" s="81">
        <v>6120</v>
      </c>
      <c r="D1318" s="81">
        <v>1</v>
      </c>
      <c r="E1318" s="70">
        <v>2</v>
      </c>
      <c r="F1318" s="81" t="s">
        <v>260</v>
      </c>
      <c r="G1318" s="81" t="s">
        <v>246</v>
      </c>
      <c r="H1318" s="81">
        <v>1976</v>
      </c>
      <c r="I1318" s="81" t="s">
        <v>247</v>
      </c>
    </row>
    <row r="1319" spans="1:9" x14ac:dyDescent="0.3">
      <c r="A1319" s="23">
        <v>6.15</v>
      </c>
      <c r="B1319" s="23">
        <v>14.33</v>
      </c>
      <c r="C1319" s="81">
        <v>6120</v>
      </c>
      <c r="D1319" s="81">
        <v>1</v>
      </c>
      <c r="E1319" s="70">
        <v>2</v>
      </c>
      <c r="F1319" s="81" t="s">
        <v>260</v>
      </c>
      <c r="G1319" s="81" t="s">
        <v>246</v>
      </c>
      <c r="H1319" s="81">
        <v>1976</v>
      </c>
      <c r="I1319" s="81" t="s">
        <v>247</v>
      </c>
    </row>
    <row r="1320" spans="1:9" x14ac:dyDescent="0.3">
      <c r="A1320" s="23">
        <v>6.16</v>
      </c>
      <c r="B1320" s="23">
        <v>7.48</v>
      </c>
      <c r="C1320" s="81">
        <v>6120</v>
      </c>
      <c r="D1320" s="81">
        <v>1</v>
      </c>
      <c r="E1320" s="70">
        <v>2</v>
      </c>
      <c r="F1320" s="81" t="s">
        <v>260</v>
      </c>
      <c r="G1320" s="81" t="s">
        <v>246</v>
      </c>
      <c r="H1320" s="81">
        <v>1976</v>
      </c>
      <c r="I1320" s="81" t="s">
        <v>247</v>
      </c>
    </row>
    <row r="1321" spans="1:9" x14ac:dyDescent="0.3">
      <c r="A1321" s="23">
        <v>6.16</v>
      </c>
      <c r="B1321" s="23">
        <v>8</v>
      </c>
      <c r="C1321" s="81">
        <v>6120</v>
      </c>
      <c r="D1321" s="81">
        <v>1</v>
      </c>
      <c r="E1321" s="70">
        <v>2</v>
      </c>
      <c r="F1321" s="81" t="s">
        <v>260</v>
      </c>
      <c r="G1321" s="81" t="s">
        <v>246</v>
      </c>
      <c r="H1321" s="81">
        <v>1976</v>
      </c>
      <c r="I1321" s="81" t="s">
        <v>247</v>
      </c>
    </row>
    <row r="1322" spans="1:9" x14ac:dyDescent="0.3">
      <c r="A1322" s="23">
        <v>6.16</v>
      </c>
      <c r="B1322" s="23">
        <v>15.08</v>
      </c>
      <c r="C1322" s="81">
        <v>6120</v>
      </c>
      <c r="D1322" s="81">
        <v>1</v>
      </c>
      <c r="E1322" s="70">
        <v>2</v>
      </c>
      <c r="F1322" s="81" t="s">
        <v>260</v>
      </c>
      <c r="G1322" s="81" t="s">
        <v>246</v>
      </c>
      <c r="H1322" s="81">
        <v>1976</v>
      </c>
      <c r="I1322" s="81" t="s">
        <v>247</v>
      </c>
    </row>
    <row r="1323" spans="1:9" x14ac:dyDescent="0.3">
      <c r="A1323" s="23">
        <v>6.16</v>
      </c>
      <c r="B1323" s="23">
        <v>16.12</v>
      </c>
      <c r="C1323" s="81">
        <v>6120</v>
      </c>
      <c r="D1323" s="81">
        <v>1</v>
      </c>
      <c r="E1323" s="70">
        <v>2</v>
      </c>
      <c r="F1323" s="81" t="s">
        <v>260</v>
      </c>
      <c r="G1323" s="81" t="s">
        <v>246</v>
      </c>
      <c r="H1323" s="81">
        <v>1976</v>
      </c>
      <c r="I1323" s="81" t="s">
        <v>247</v>
      </c>
    </row>
    <row r="1324" spans="1:9" x14ac:dyDescent="0.3">
      <c r="A1324" s="23">
        <v>6.17</v>
      </c>
      <c r="B1324" s="23">
        <v>8.66</v>
      </c>
      <c r="C1324" s="81">
        <v>6120</v>
      </c>
      <c r="D1324" s="81">
        <v>1</v>
      </c>
      <c r="E1324" s="70">
        <v>2</v>
      </c>
      <c r="F1324" s="81" t="s">
        <v>260</v>
      </c>
      <c r="G1324" s="81" t="s">
        <v>246</v>
      </c>
      <c r="H1324" s="81">
        <v>1976</v>
      </c>
      <c r="I1324" s="81" t="s">
        <v>247</v>
      </c>
    </row>
    <row r="1325" spans="1:9" x14ac:dyDescent="0.3">
      <c r="A1325" s="23">
        <v>6.18</v>
      </c>
      <c r="B1325" s="23">
        <v>10.14</v>
      </c>
      <c r="C1325" s="81">
        <v>6120</v>
      </c>
      <c r="D1325" s="81">
        <v>1</v>
      </c>
      <c r="E1325" s="70">
        <v>2</v>
      </c>
      <c r="F1325" s="81" t="s">
        <v>260</v>
      </c>
      <c r="G1325" s="81" t="s">
        <v>246</v>
      </c>
      <c r="H1325" s="81">
        <v>1976</v>
      </c>
      <c r="I1325" s="81" t="s">
        <v>247</v>
      </c>
    </row>
    <row r="1326" spans="1:9" x14ac:dyDescent="0.3">
      <c r="A1326" s="23">
        <v>6.21</v>
      </c>
      <c r="B1326" s="23">
        <v>14.22</v>
      </c>
      <c r="C1326" s="81">
        <v>6120</v>
      </c>
      <c r="D1326" s="81">
        <v>1</v>
      </c>
      <c r="E1326" s="70">
        <v>2</v>
      </c>
      <c r="F1326" s="81" t="s">
        <v>260</v>
      </c>
      <c r="G1326" s="81" t="s">
        <v>246</v>
      </c>
      <c r="H1326" s="81">
        <v>1976</v>
      </c>
      <c r="I1326" s="81" t="s">
        <v>247</v>
      </c>
    </row>
    <row r="1327" spans="1:9" x14ac:dyDescent="0.3">
      <c r="A1327" s="23">
        <v>6.28</v>
      </c>
      <c r="B1327" s="23">
        <v>7.13</v>
      </c>
      <c r="C1327" s="81">
        <v>6120</v>
      </c>
      <c r="D1327" s="81">
        <v>1</v>
      </c>
      <c r="E1327" s="70">
        <v>2</v>
      </c>
      <c r="F1327" s="81" t="s">
        <v>260</v>
      </c>
      <c r="G1327" s="81" t="s">
        <v>246</v>
      </c>
      <c r="H1327" s="81">
        <v>1976</v>
      </c>
      <c r="I1327" s="81" t="s">
        <v>247</v>
      </c>
    </row>
    <row r="1328" spans="1:9" x14ac:dyDescent="0.3">
      <c r="A1328" s="23">
        <v>6.28</v>
      </c>
      <c r="B1328" s="23">
        <v>7.3</v>
      </c>
      <c r="C1328" s="81">
        <v>6120</v>
      </c>
      <c r="D1328" s="81">
        <v>1</v>
      </c>
      <c r="E1328" s="70">
        <v>2</v>
      </c>
      <c r="F1328" s="81" t="s">
        <v>260</v>
      </c>
      <c r="G1328" s="81" t="s">
        <v>246</v>
      </c>
      <c r="H1328" s="81">
        <v>1976</v>
      </c>
      <c r="I1328" s="81" t="s">
        <v>247</v>
      </c>
    </row>
    <row r="1329" spans="1:9" x14ac:dyDescent="0.3">
      <c r="A1329" s="23">
        <v>6.28</v>
      </c>
      <c r="B1329" s="23">
        <v>7.39</v>
      </c>
      <c r="C1329" s="81">
        <v>6120</v>
      </c>
      <c r="D1329" s="81">
        <v>1</v>
      </c>
      <c r="E1329" s="70">
        <v>2</v>
      </c>
      <c r="F1329" s="81" t="s">
        <v>260</v>
      </c>
      <c r="G1329" s="81" t="s">
        <v>246</v>
      </c>
      <c r="H1329" s="81">
        <v>1976</v>
      </c>
      <c r="I1329" s="81" t="s">
        <v>247</v>
      </c>
    </row>
    <row r="1330" spans="1:9" x14ac:dyDescent="0.3">
      <c r="A1330" s="23">
        <v>6.28</v>
      </c>
      <c r="B1330" s="23">
        <v>7.39</v>
      </c>
      <c r="C1330" s="81">
        <v>6120</v>
      </c>
      <c r="D1330" s="81">
        <v>1</v>
      </c>
      <c r="E1330" s="70">
        <v>2</v>
      </c>
      <c r="F1330" s="81" t="s">
        <v>260</v>
      </c>
      <c r="G1330" s="81" t="s">
        <v>246</v>
      </c>
      <c r="H1330" s="81">
        <v>1976</v>
      </c>
      <c r="I1330" s="81" t="s">
        <v>247</v>
      </c>
    </row>
    <row r="1331" spans="1:9" x14ac:dyDescent="0.3">
      <c r="A1331" s="23">
        <v>6.29</v>
      </c>
      <c r="B1331" s="23">
        <v>13.09</v>
      </c>
      <c r="C1331" s="81">
        <v>6120</v>
      </c>
      <c r="D1331" s="81">
        <v>1</v>
      </c>
      <c r="E1331" s="70">
        <v>2</v>
      </c>
      <c r="F1331" s="81" t="s">
        <v>260</v>
      </c>
      <c r="G1331" s="81" t="s">
        <v>246</v>
      </c>
      <c r="H1331" s="81">
        <v>1976</v>
      </c>
      <c r="I1331" s="81" t="s">
        <v>247</v>
      </c>
    </row>
    <row r="1332" spans="1:9" x14ac:dyDescent="0.3">
      <c r="A1332" s="23">
        <v>6.3</v>
      </c>
      <c r="B1332" s="23">
        <v>6.15</v>
      </c>
      <c r="C1332" s="81">
        <v>6120</v>
      </c>
      <c r="D1332" s="81">
        <v>1</v>
      </c>
      <c r="E1332" s="70">
        <v>2</v>
      </c>
      <c r="F1332" s="81" t="s">
        <v>260</v>
      </c>
      <c r="G1332" s="81" t="s">
        <v>246</v>
      </c>
      <c r="H1332" s="81">
        <v>1976</v>
      </c>
      <c r="I1332" s="81" t="s">
        <v>247</v>
      </c>
    </row>
    <row r="1333" spans="1:9" x14ac:dyDescent="0.3">
      <c r="A1333" s="23">
        <v>6.3</v>
      </c>
      <c r="B1333" s="23">
        <v>10.14</v>
      </c>
      <c r="C1333" s="81">
        <v>6120</v>
      </c>
      <c r="D1333" s="81">
        <v>1</v>
      </c>
      <c r="E1333" s="70">
        <v>2</v>
      </c>
      <c r="F1333" s="81" t="s">
        <v>260</v>
      </c>
      <c r="G1333" s="81" t="s">
        <v>246</v>
      </c>
      <c r="H1333" s="81">
        <v>1976</v>
      </c>
      <c r="I1333" s="81" t="s">
        <v>247</v>
      </c>
    </row>
    <row r="1334" spans="1:9" x14ac:dyDescent="0.3">
      <c r="A1334" s="23">
        <v>6.3</v>
      </c>
      <c r="B1334" s="23">
        <v>10.14</v>
      </c>
      <c r="C1334" s="81">
        <v>6120</v>
      </c>
      <c r="D1334" s="81">
        <v>1</v>
      </c>
      <c r="E1334" s="70">
        <v>2</v>
      </c>
      <c r="F1334" s="81" t="s">
        <v>260</v>
      </c>
      <c r="G1334" s="81" t="s">
        <v>246</v>
      </c>
      <c r="H1334" s="81">
        <v>1976</v>
      </c>
      <c r="I1334" s="81" t="s">
        <v>247</v>
      </c>
    </row>
    <row r="1335" spans="1:9" x14ac:dyDescent="0.3">
      <c r="A1335" s="23">
        <v>6.3</v>
      </c>
      <c r="B1335" s="23">
        <v>14.19</v>
      </c>
      <c r="C1335" s="81">
        <v>6120</v>
      </c>
      <c r="D1335" s="81">
        <v>1</v>
      </c>
      <c r="E1335" s="70">
        <v>2</v>
      </c>
      <c r="F1335" s="81" t="s">
        <v>260</v>
      </c>
      <c r="G1335" s="81" t="s">
        <v>246</v>
      </c>
      <c r="H1335" s="81">
        <v>1976</v>
      </c>
      <c r="I1335" s="81" t="s">
        <v>247</v>
      </c>
    </row>
    <row r="1336" spans="1:9" x14ac:dyDescent="0.3">
      <c r="A1336" s="23">
        <v>6.4</v>
      </c>
      <c r="B1336" s="23">
        <v>7.19</v>
      </c>
      <c r="C1336" s="81">
        <v>6120</v>
      </c>
      <c r="D1336" s="81">
        <v>1</v>
      </c>
      <c r="E1336" s="70">
        <v>2</v>
      </c>
      <c r="F1336" s="81" t="s">
        <v>260</v>
      </c>
      <c r="G1336" s="81" t="s">
        <v>246</v>
      </c>
      <c r="H1336" s="81">
        <v>1976</v>
      </c>
      <c r="I1336" s="81" t="s">
        <v>247</v>
      </c>
    </row>
    <row r="1337" spans="1:9" x14ac:dyDescent="0.3">
      <c r="A1337" s="23">
        <v>7.15</v>
      </c>
      <c r="B1337" s="23">
        <v>14.09</v>
      </c>
      <c r="C1337" s="81">
        <v>6120</v>
      </c>
      <c r="D1337" s="81">
        <v>1</v>
      </c>
      <c r="E1337" s="70">
        <v>2</v>
      </c>
      <c r="F1337" s="81" t="s">
        <v>260</v>
      </c>
      <c r="G1337" s="81" t="s">
        <v>246</v>
      </c>
      <c r="H1337" s="81">
        <v>1976</v>
      </c>
      <c r="I1337" s="81" t="s">
        <v>247</v>
      </c>
    </row>
    <row r="1338" spans="1:9" x14ac:dyDescent="0.3">
      <c r="A1338" s="23">
        <v>7.16</v>
      </c>
      <c r="B1338" s="23">
        <v>7.24</v>
      </c>
      <c r="C1338" s="81">
        <v>6120</v>
      </c>
      <c r="D1338" s="81">
        <v>1</v>
      </c>
      <c r="E1338" s="70">
        <v>2</v>
      </c>
      <c r="F1338" s="81" t="s">
        <v>260</v>
      </c>
      <c r="G1338" s="81" t="s">
        <v>246</v>
      </c>
      <c r="H1338" s="81">
        <v>1976</v>
      </c>
      <c r="I1338" s="81" t="s">
        <v>247</v>
      </c>
    </row>
    <row r="1339" spans="1:9" x14ac:dyDescent="0.3">
      <c r="A1339" s="23">
        <v>7.16</v>
      </c>
      <c r="B1339" s="23">
        <v>7.33</v>
      </c>
      <c r="C1339" s="81">
        <v>6120</v>
      </c>
      <c r="D1339" s="81">
        <v>1</v>
      </c>
      <c r="E1339" s="70">
        <v>2</v>
      </c>
      <c r="F1339" s="81" t="s">
        <v>260</v>
      </c>
      <c r="G1339" s="81" t="s">
        <v>246</v>
      </c>
      <c r="H1339" s="81">
        <v>1976</v>
      </c>
      <c r="I1339" s="81" t="s">
        <v>247</v>
      </c>
    </row>
    <row r="1340" spans="1:9" x14ac:dyDescent="0.3">
      <c r="A1340" s="23">
        <v>7.16</v>
      </c>
      <c r="B1340" s="23">
        <v>7.47</v>
      </c>
      <c r="C1340" s="81">
        <v>6120</v>
      </c>
      <c r="D1340" s="81">
        <v>1</v>
      </c>
      <c r="E1340" s="70">
        <v>2</v>
      </c>
      <c r="F1340" s="81" t="s">
        <v>260</v>
      </c>
      <c r="G1340" s="81" t="s">
        <v>246</v>
      </c>
      <c r="H1340" s="81">
        <v>1976</v>
      </c>
      <c r="I1340" s="81" t="s">
        <v>247</v>
      </c>
    </row>
    <row r="1341" spans="1:9" x14ac:dyDescent="0.3">
      <c r="A1341" s="23">
        <v>7.17</v>
      </c>
      <c r="B1341" s="23">
        <v>9.06</v>
      </c>
      <c r="C1341" s="81">
        <v>6120</v>
      </c>
      <c r="D1341" s="81">
        <v>1</v>
      </c>
      <c r="E1341" s="70">
        <v>2</v>
      </c>
      <c r="F1341" s="81" t="s">
        <v>260</v>
      </c>
      <c r="G1341" s="81" t="s">
        <v>246</v>
      </c>
      <c r="H1341" s="81">
        <v>1976</v>
      </c>
      <c r="I1341" s="81" t="s">
        <v>247</v>
      </c>
    </row>
    <row r="1342" spans="1:9" x14ac:dyDescent="0.3">
      <c r="A1342" s="23">
        <v>7.18</v>
      </c>
      <c r="B1342" s="23">
        <v>15.08</v>
      </c>
      <c r="C1342" s="81">
        <v>6120</v>
      </c>
      <c r="D1342" s="81">
        <v>1</v>
      </c>
      <c r="E1342" s="70">
        <v>2</v>
      </c>
      <c r="F1342" s="81" t="s">
        <v>260</v>
      </c>
      <c r="G1342" s="81" t="s">
        <v>246</v>
      </c>
      <c r="H1342" s="81">
        <v>1976</v>
      </c>
      <c r="I1342" s="81" t="s">
        <v>247</v>
      </c>
    </row>
    <row r="1343" spans="1:9" x14ac:dyDescent="0.3">
      <c r="A1343" s="23">
        <v>7.19</v>
      </c>
      <c r="B1343" s="23">
        <v>8.14</v>
      </c>
      <c r="C1343" s="81">
        <v>6120</v>
      </c>
      <c r="D1343" s="81">
        <v>1</v>
      </c>
      <c r="E1343" s="70">
        <v>2</v>
      </c>
      <c r="F1343" s="81" t="s">
        <v>260</v>
      </c>
      <c r="G1343" s="81" t="s">
        <v>246</v>
      </c>
      <c r="H1343" s="81">
        <v>1976</v>
      </c>
      <c r="I1343" s="81" t="s">
        <v>247</v>
      </c>
    </row>
    <row r="1344" spans="1:9" x14ac:dyDescent="0.3">
      <c r="A1344" s="23">
        <v>7.19</v>
      </c>
      <c r="B1344" s="23">
        <v>12.07</v>
      </c>
      <c r="C1344" s="81">
        <v>6120</v>
      </c>
      <c r="D1344" s="81">
        <v>1</v>
      </c>
      <c r="E1344" s="70">
        <v>2</v>
      </c>
      <c r="F1344" s="81" t="s">
        <v>260</v>
      </c>
      <c r="G1344" s="81" t="s">
        <v>246</v>
      </c>
      <c r="H1344" s="81">
        <v>1976</v>
      </c>
      <c r="I1344" s="81" t="s">
        <v>247</v>
      </c>
    </row>
    <row r="1345" spans="1:9" x14ac:dyDescent="0.3">
      <c r="A1345" s="23">
        <v>7.2</v>
      </c>
      <c r="B1345" s="23">
        <v>13.14</v>
      </c>
      <c r="C1345" s="81">
        <v>6120</v>
      </c>
      <c r="D1345" s="81">
        <v>1</v>
      </c>
      <c r="E1345" s="70">
        <v>2</v>
      </c>
      <c r="F1345" s="81" t="s">
        <v>260</v>
      </c>
      <c r="G1345" s="81" t="s">
        <v>246</v>
      </c>
      <c r="H1345" s="81">
        <v>1976</v>
      </c>
      <c r="I1345" s="81" t="s">
        <v>247</v>
      </c>
    </row>
    <row r="1346" spans="1:9" x14ac:dyDescent="0.3">
      <c r="A1346" s="23">
        <v>7.21</v>
      </c>
      <c r="B1346" s="23">
        <v>10.1</v>
      </c>
      <c r="C1346" s="81">
        <v>6120</v>
      </c>
      <c r="D1346" s="81">
        <v>1</v>
      </c>
      <c r="E1346" s="70">
        <v>2</v>
      </c>
      <c r="F1346" s="81" t="s">
        <v>260</v>
      </c>
      <c r="G1346" s="81" t="s">
        <v>246</v>
      </c>
      <c r="H1346" s="81">
        <v>1976</v>
      </c>
      <c r="I1346" s="81" t="s">
        <v>247</v>
      </c>
    </row>
    <row r="1347" spans="1:9" x14ac:dyDescent="0.3">
      <c r="A1347" s="23">
        <v>7.21</v>
      </c>
      <c r="B1347" s="23">
        <v>11.12</v>
      </c>
      <c r="C1347" s="81">
        <v>6120</v>
      </c>
      <c r="D1347" s="81">
        <v>1</v>
      </c>
      <c r="E1347" s="70">
        <v>2</v>
      </c>
      <c r="F1347" s="81" t="s">
        <v>260</v>
      </c>
      <c r="G1347" s="81" t="s">
        <v>246</v>
      </c>
      <c r="H1347" s="81">
        <v>1976</v>
      </c>
      <c r="I1347" s="81" t="s">
        <v>247</v>
      </c>
    </row>
    <row r="1348" spans="1:9" x14ac:dyDescent="0.3">
      <c r="A1348" s="23">
        <v>7.22</v>
      </c>
      <c r="B1348" s="23">
        <v>7.24</v>
      </c>
      <c r="C1348" s="81">
        <v>6120</v>
      </c>
      <c r="D1348" s="81">
        <v>1</v>
      </c>
      <c r="E1348" s="70">
        <v>2</v>
      </c>
      <c r="F1348" s="81" t="s">
        <v>260</v>
      </c>
      <c r="G1348" s="81" t="s">
        <v>246</v>
      </c>
      <c r="H1348" s="81">
        <v>1976</v>
      </c>
      <c r="I1348" s="81" t="s">
        <v>247</v>
      </c>
    </row>
    <row r="1349" spans="1:9" x14ac:dyDescent="0.3">
      <c r="A1349" s="23">
        <v>7.22</v>
      </c>
      <c r="B1349" s="23">
        <v>7.24</v>
      </c>
      <c r="C1349" s="81">
        <v>6120</v>
      </c>
      <c r="D1349" s="81">
        <v>1</v>
      </c>
      <c r="E1349" s="70">
        <v>2</v>
      </c>
      <c r="F1349" s="81" t="s">
        <v>260</v>
      </c>
      <c r="G1349" s="81" t="s">
        <v>246</v>
      </c>
      <c r="H1349" s="81">
        <v>1976</v>
      </c>
      <c r="I1349" s="81" t="s">
        <v>247</v>
      </c>
    </row>
    <row r="1350" spans="1:9" x14ac:dyDescent="0.3">
      <c r="A1350" s="23">
        <v>7.25</v>
      </c>
      <c r="B1350" s="23">
        <v>7.39</v>
      </c>
      <c r="C1350" s="81">
        <v>6120</v>
      </c>
      <c r="D1350" s="81">
        <v>1</v>
      </c>
      <c r="E1350" s="70">
        <v>2</v>
      </c>
      <c r="F1350" s="81" t="s">
        <v>260</v>
      </c>
      <c r="G1350" s="81" t="s">
        <v>246</v>
      </c>
      <c r="H1350" s="81">
        <v>1976</v>
      </c>
      <c r="I1350" s="81" t="s">
        <v>247</v>
      </c>
    </row>
    <row r="1351" spans="1:9" x14ac:dyDescent="0.3">
      <c r="A1351" s="23">
        <v>7.27</v>
      </c>
      <c r="B1351" s="23">
        <v>14.09</v>
      </c>
      <c r="C1351" s="81">
        <v>6120</v>
      </c>
      <c r="D1351" s="81">
        <v>1</v>
      </c>
      <c r="E1351" s="70">
        <v>2</v>
      </c>
      <c r="F1351" s="81" t="s">
        <v>260</v>
      </c>
      <c r="G1351" s="81" t="s">
        <v>246</v>
      </c>
      <c r="H1351" s="81">
        <v>1976</v>
      </c>
      <c r="I1351" s="81" t="s">
        <v>247</v>
      </c>
    </row>
    <row r="1352" spans="1:9" x14ac:dyDescent="0.3">
      <c r="A1352" s="23">
        <v>7.27</v>
      </c>
      <c r="B1352" s="23">
        <v>14.09</v>
      </c>
      <c r="C1352" s="81">
        <v>6120</v>
      </c>
      <c r="D1352" s="81">
        <v>1</v>
      </c>
      <c r="E1352" s="70">
        <v>2</v>
      </c>
      <c r="F1352" s="81" t="s">
        <v>260</v>
      </c>
      <c r="G1352" s="81" t="s">
        <v>246</v>
      </c>
      <c r="H1352" s="81">
        <v>1976</v>
      </c>
      <c r="I1352" s="81" t="s">
        <v>247</v>
      </c>
    </row>
    <row r="1353" spans="1:9" x14ac:dyDescent="0.3">
      <c r="A1353" s="23">
        <v>7.29</v>
      </c>
      <c r="B1353" s="23">
        <v>9.06</v>
      </c>
      <c r="C1353" s="81">
        <v>6120</v>
      </c>
      <c r="D1353" s="81">
        <v>1</v>
      </c>
      <c r="E1353" s="70">
        <v>2</v>
      </c>
      <c r="F1353" s="81" t="s">
        <v>260</v>
      </c>
      <c r="G1353" s="81" t="s">
        <v>246</v>
      </c>
      <c r="H1353" s="81">
        <v>1976</v>
      </c>
      <c r="I1353" s="81" t="s">
        <v>247</v>
      </c>
    </row>
    <row r="1354" spans="1:9" x14ac:dyDescent="0.3">
      <c r="A1354" s="23">
        <v>7.29</v>
      </c>
      <c r="B1354" s="23">
        <v>9.06</v>
      </c>
      <c r="C1354" s="81">
        <v>6120</v>
      </c>
      <c r="D1354" s="81">
        <v>1</v>
      </c>
      <c r="E1354" s="70">
        <v>2</v>
      </c>
      <c r="F1354" s="81" t="s">
        <v>260</v>
      </c>
      <c r="G1354" s="81" t="s">
        <v>246</v>
      </c>
      <c r="H1354" s="81">
        <v>1976</v>
      </c>
      <c r="I1354" s="81" t="s">
        <v>247</v>
      </c>
    </row>
    <row r="1355" spans="1:9" x14ac:dyDescent="0.3">
      <c r="A1355" s="23">
        <v>7.3</v>
      </c>
      <c r="B1355" s="23">
        <v>10.07</v>
      </c>
      <c r="C1355" s="81">
        <v>6120</v>
      </c>
      <c r="D1355" s="81">
        <v>1</v>
      </c>
      <c r="E1355" s="70">
        <v>2</v>
      </c>
      <c r="F1355" s="81" t="s">
        <v>260</v>
      </c>
      <c r="G1355" s="81" t="s">
        <v>246</v>
      </c>
      <c r="H1355" s="81">
        <v>1976</v>
      </c>
      <c r="I1355" s="81" t="s">
        <v>247</v>
      </c>
    </row>
    <row r="1356" spans="1:9" x14ac:dyDescent="0.3">
      <c r="A1356" s="23">
        <v>7.3</v>
      </c>
      <c r="B1356" s="23">
        <v>10.07</v>
      </c>
      <c r="C1356" s="81">
        <v>6120</v>
      </c>
      <c r="D1356" s="81">
        <v>1</v>
      </c>
      <c r="E1356" s="70">
        <v>2</v>
      </c>
      <c r="F1356" s="81" t="s">
        <v>260</v>
      </c>
      <c r="G1356" s="81" t="s">
        <v>246</v>
      </c>
      <c r="H1356" s="81">
        <v>1976</v>
      </c>
      <c r="I1356" s="81" t="s">
        <v>247</v>
      </c>
    </row>
    <row r="1357" spans="1:9" x14ac:dyDescent="0.3">
      <c r="A1357" s="23">
        <v>7.34</v>
      </c>
      <c r="B1357" s="23">
        <v>8.14</v>
      </c>
      <c r="C1357" s="81">
        <v>6120</v>
      </c>
      <c r="D1357" s="81">
        <v>1</v>
      </c>
      <c r="E1357" s="70">
        <v>2</v>
      </c>
      <c r="F1357" s="81" t="s">
        <v>260</v>
      </c>
      <c r="G1357" s="81" t="s">
        <v>246</v>
      </c>
      <c r="H1357" s="81">
        <v>1976</v>
      </c>
      <c r="I1357" s="81" t="s">
        <v>247</v>
      </c>
    </row>
    <row r="1358" spans="1:9" x14ac:dyDescent="0.3">
      <c r="A1358" s="23">
        <v>7.34</v>
      </c>
      <c r="B1358" s="23">
        <v>11.12</v>
      </c>
      <c r="C1358" s="81">
        <v>6120</v>
      </c>
      <c r="D1358" s="81">
        <v>1</v>
      </c>
      <c r="E1358" s="70">
        <v>2</v>
      </c>
      <c r="F1358" s="81" t="s">
        <v>260</v>
      </c>
      <c r="G1358" s="81" t="s">
        <v>246</v>
      </c>
      <c r="H1358" s="81">
        <v>1976</v>
      </c>
      <c r="I1358" s="81" t="s">
        <v>247</v>
      </c>
    </row>
    <row r="1359" spans="1:9" x14ac:dyDescent="0.3">
      <c r="A1359" s="23">
        <v>7.34</v>
      </c>
      <c r="B1359" s="23">
        <v>11.12</v>
      </c>
      <c r="C1359" s="81">
        <v>6120</v>
      </c>
      <c r="D1359" s="81">
        <v>1</v>
      </c>
      <c r="E1359" s="70">
        <v>2</v>
      </c>
      <c r="F1359" s="81" t="s">
        <v>260</v>
      </c>
      <c r="G1359" s="81" t="s">
        <v>246</v>
      </c>
      <c r="H1359" s="81">
        <v>1976</v>
      </c>
      <c r="I1359" s="81" t="s">
        <v>247</v>
      </c>
    </row>
    <row r="1360" spans="1:9" x14ac:dyDescent="0.3">
      <c r="A1360" s="23">
        <v>7.34</v>
      </c>
      <c r="B1360" s="23">
        <v>12.07</v>
      </c>
      <c r="C1360" s="81">
        <v>6120</v>
      </c>
      <c r="D1360" s="81">
        <v>1</v>
      </c>
      <c r="E1360" s="70">
        <v>2</v>
      </c>
      <c r="F1360" s="81" t="s">
        <v>260</v>
      </c>
      <c r="G1360" s="81" t="s">
        <v>246</v>
      </c>
      <c r="H1360" s="81">
        <v>1976</v>
      </c>
      <c r="I1360" s="81" t="s">
        <v>247</v>
      </c>
    </row>
    <row r="1361" spans="1:9" x14ac:dyDescent="0.3">
      <c r="A1361" s="23">
        <v>7.43</v>
      </c>
      <c r="B1361" s="23">
        <v>7.15</v>
      </c>
      <c r="C1361" s="81">
        <v>6120</v>
      </c>
      <c r="D1361" s="81">
        <v>1</v>
      </c>
      <c r="E1361" s="70">
        <v>2</v>
      </c>
      <c r="F1361" s="81" t="s">
        <v>260</v>
      </c>
      <c r="G1361" s="81" t="s">
        <v>246</v>
      </c>
      <c r="H1361" s="81">
        <v>1976</v>
      </c>
      <c r="I1361" s="81" t="s">
        <v>247</v>
      </c>
    </row>
    <row r="1362" spans="1:9" x14ac:dyDescent="0.3">
      <c r="A1362" s="23">
        <v>7.43</v>
      </c>
      <c r="B1362" s="23">
        <v>7.15</v>
      </c>
      <c r="C1362" s="81">
        <v>6120</v>
      </c>
      <c r="D1362" s="81">
        <v>1</v>
      </c>
      <c r="E1362" s="70">
        <v>2</v>
      </c>
      <c r="F1362" s="81" t="s">
        <v>260</v>
      </c>
      <c r="G1362" s="81" t="s">
        <v>246</v>
      </c>
      <c r="H1362" s="81">
        <v>1976</v>
      </c>
      <c r="I1362" s="81" t="s">
        <v>247</v>
      </c>
    </row>
    <row r="1363" spans="1:9" x14ac:dyDescent="0.3">
      <c r="A1363" s="23">
        <v>7.43</v>
      </c>
      <c r="B1363" s="23">
        <v>7.27</v>
      </c>
      <c r="C1363" s="81">
        <v>6120</v>
      </c>
      <c r="D1363" s="81">
        <v>1</v>
      </c>
      <c r="E1363" s="70">
        <v>2</v>
      </c>
      <c r="F1363" s="81" t="s">
        <v>260</v>
      </c>
      <c r="G1363" s="81" t="s">
        <v>246</v>
      </c>
      <c r="H1363" s="81">
        <v>1976</v>
      </c>
      <c r="I1363" s="81" t="s">
        <v>247</v>
      </c>
    </row>
    <row r="1364" spans="1:9" x14ac:dyDescent="0.3">
      <c r="A1364" s="23">
        <v>8.14</v>
      </c>
      <c r="B1364" s="23">
        <v>9.1999999999999993</v>
      </c>
      <c r="C1364" s="81">
        <v>6120</v>
      </c>
      <c r="D1364" s="81">
        <v>1</v>
      </c>
      <c r="E1364" s="70">
        <v>2</v>
      </c>
      <c r="F1364" s="81" t="s">
        <v>260</v>
      </c>
      <c r="G1364" s="81" t="s">
        <v>246</v>
      </c>
      <c r="H1364" s="81">
        <v>1976</v>
      </c>
      <c r="I1364" s="81" t="s">
        <v>247</v>
      </c>
    </row>
    <row r="1365" spans="1:9" x14ac:dyDescent="0.3">
      <c r="A1365" s="23">
        <v>8.14</v>
      </c>
      <c r="B1365" s="23">
        <v>9.3800000000000008</v>
      </c>
      <c r="C1365" s="81">
        <v>6120</v>
      </c>
      <c r="D1365" s="81">
        <v>1</v>
      </c>
      <c r="E1365" s="70">
        <v>2</v>
      </c>
      <c r="F1365" s="81" t="s">
        <v>260</v>
      </c>
      <c r="G1365" s="81" t="s">
        <v>246</v>
      </c>
      <c r="H1365" s="81">
        <v>1976</v>
      </c>
      <c r="I1365" s="81" t="s">
        <v>247</v>
      </c>
    </row>
    <row r="1366" spans="1:9" x14ac:dyDescent="0.3">
      <c r="A1366" s="23">
        <v>8.14</v>
      </c>
      <c r="B1366" s="23">
        <v>9.52</v>
      </c>
      <c r="C1366" s="81">
        <v>6120</v>
      </c>
      <c r="D1366" s="81">
        <v>1</v>
      </c>
      <c r="E1366" s="70">
        <v>2</v>
      </c>
      <c r="F1366" s="81" t="s">
        <v>260</v>
      </c>
      <c r="G1366" s="81" t="s">
        <v>246</v>
      </c>
      <c r="H1366" s="81">
        <v>1976</v>
      </c>
      <c r="I1366" s="81" t="s">
        <v>247</v>
      </c>
    </row>
    <row r="1367" spans="1:9" x14ac:dyDescent="0.3">
      <c r="A1367" s="23">
        <v>8.15</v>
      </c>
      <c r="B1367" s="23">
        <v>7.12</v>
      </c>
      <c r="C1367" s="81">
        <v>6120</v>
      </c>
      <c r="D1367" s="81">
        <v>1</v>
      </c>
      <c r="E1367" s="70">
        <v>2</v>
      </c>
      <c r="F1367" s="81" t="s">
        <v>260</v>
      </c>
      <c r="G1367" s="81" t="s">
        <v>246</v>
      </c>
      <c r="H1367" s="81">
        <v>1976</v>
      </c>
      <c r="I1367" s="81" t="s">
        <v>247</v>
      </c>
    </row>
    <row r="1368" spans="1:9" x14ac:dyDescent="0.3">
      <c r="A1368" s="23">
        <v>8.16</v>
      </c>
      <c r="B1368" s="23">
        <v>12.21</v>
      </c>
      <c r="C1368" s="81">
        <v>6120</v>
      </c>
      <c r="D1368" s="81">
        <v>1</v>
      </c>
      <c r="E1368" s="70">
        <v>2</v>
      </c>
      <c r="F1368" s="81" t="s">
        <v>260</v>
      </c>
      <c r="G1368" s="81" t="s">
        <v>246</v>
      </c>
      <c r="H1368" s="81">
        <v>1976</v>
      </c>
      <c r="I1368" s="81" t="s">
        <v>247</v>
      </c>
    </row>
    <row r="1369" spans="1:9" x14ac:dyDescent="0.3">
      <c r="A1369" s="87">
        <v>8.17</v>
      </c>
      <c r="B1369" s="87">
        <v>13.11</v>
      </c>
      <c r="C1369" s="81">
        <v>6120</v>
      </c>
      <c r="D1369" s="81">
        <v>1</v>
      </c>
      <c r="E1369" s="70">
        <v>2</v>
      </c>
      <c r="F1369" s="81" t="s">
        <v>260</v>
      </c>
      <c r="G1369" s="81" t="s">
        <v>246</v>
      </c>
      <c r="H1369" s="81">
        <v>1976</v>
      </c>
      <c r="I1369" s="81" t="s">
        <v>247</v>
      </c>
    </row>
    <row r="1370" spans="1:9" x14ac:dyDescent="0.3">
      <c r="A1370" s="87">
        <v>8.17</v>
      </c>
      <c r="B1370" s="87">
        <v>13.11</v>
      </c>
      <c r="C1370" s="81">
        <v>6120</v>
      </c>
      <c r="D1370" s="81">
        <v>1</v>
      </c>
      <c r="E1370" s="70">
        <v>2</v>
      </c>
      <c r="F1370" s="81" t="s">
        <v>260</v>
      </c>
      <c r="G1370" s="81" t="s">
        <v>246</v>
      </c>
      <c r="H1370" s="81">
        <v>1976</v>
      </c>
      <c r="I1370" s="81" t="s">
        <v>247</v>
      </c>
    </row>
    <row r="1371" spans="1:9" x14ac:dyDescent="0.3">
      <c r="A1371" s="87">
        <v>8.17</v>
      </c>
      <c r="B1371" s="87">
        <v>13.22</v>
      </c>
      <c r="C1371" s="81">
        <v>6120</v>
      </c>
      <c r="D1371" s="81">
        <v>1</v>
      </c>
      <c r="E1371" s="70">
        <v>2</v>
      </c>
      <c r="F1371" s="81" t="s">
        <v>260</v>
      </c>
      <c r="G1371" s="81" t="s">
        <v>246</v>
      </c>
      <c r="H1371" s="81">
        <v>1976</v>
      </c>
      <c r="I1371" s="81" t="s">
        <v>247</v>
      </c>
    </row>
    <row r="1372" spans="1:9" x14ac:dyDescent="0.3">
      <c r="A1372" s="87">
        <v>8.17</v>
      </c>
      <c r="B1372" s="87">
        <v>14.15</v>
      </c>
      <c r="C1372" s="81">
        <v>6120</v>
      </c>
      <c r="D1372" s="81">
        <v>1</v>
      </c>
      <c r="E1372" s="70">
        <v>2</v>
      </c>
      <c r="F1372" s="81" t="s">
        <v>260</v>
      </c>
      <c r="G1372" s="81" t="s">
        <v>246</v>
      </c>
      <c r="H1372" s="81">
        <v>1976</v>
      </c>
      <c r="I1372" s="81" t="s">
        <v>247</v>
      </c>
    </row>
    <row r="1373" spans="1:9" x14ac:dyDescent="0.3">
      <c r="A1373" s="87">
        <v>8.19</v>
      </c>
      <c r="B1373" s="87">
        <v>8.08</v>
      </c>
      <c r="C1373" s="81">
        <v>6120</v>
      </c>
      <c r="D1373" s="81">
        <v>1</v>
      </c>
      <c r="E1373" s="70">
        <v>2</v>
      </c>
      <c r="F1373" s="81" t="s">
        <v>260</v>
      </c>
      <c r="G1373" s="81" t="s">
        <v>246</v>
      </c>
      <c r="H1373" s="81">
        <v>1976</v>
      </c>
      <c r="I1373" s="81" t="s">
        <v>247</v>
      </c>
    </row>
    <row r="1374" spans="1:9" x14ac:dyDescent="0.3">
      <c r="A1374" s="87">
        <v>8.2100000000000009</v>
      </c>
      <c r="B1374" s="87">
        <v>11.11</v>
      </c>
      <c r="C1374" s="81">
        <v>6120</v>
      </c>
      <c r="D1374" s="81">
        <v>1</v>
      </c>
      <c r="E1374" s="70">
        <v>2</v>
      </c>
      <c r="F1374" s="81" t="s">
        <v>260</v>
      </c>
      <c r="G1374" s="81" t="s">
        <v>246</v>
      </c>
      <c r="H1374" s="81">
        <v>1976</v>
      </c>
      <c r="I1374" s="81" t="s">
        <v>247</v>
      </c>
    </row>
    <row r="1375" spans="1:9" x14ac:dyDescent="0.3">
      <c r="A1375" s="87">
        <v>8.25</v>
      </c>
      <c r="B1375" s="87">
        <v>12.12</v>
      </c>
      <c r="C1375" s="81">
        <v>6120</v>
      </c>
      <c r="D1375" s="81">
        <v>1</v>
      </c>
      <c r="E1375" s="70">
        <v>2</v>
      </c>
      <c r="F1375" s="81" t="s">
        <v>260</v>
      </c>
      <c r="G1375" s="81" t="s">
        <v>246</v>
      </c>
      <c r="H1375" s="81">
        <v>1976</v>
      </c>
      <c r="I1375" s="81" t="s">
        <v>247</v>
      </c>
    </row>
    <row r="1376" spans="1:9" x14ac:dyDescent="0.3">
      <c r="A1376" s="87">
        <v>8.25</v>
      </c>
      <c r="B1376" s="87">
        <v>12.12</v>
      </c>
      <c r="C1376" s="81">
        <v>6120</v>
      </c>
      <c r="D1376" s="81">
        <v>1</v>
      </c>
      <c r="E1376" s="70">
        <v>2</v>
      </c>
      <c r="F1376" s="81" t="s">
        <v>260</v>
      </c>
      <c r="G1376" s="81" t="s">
        <v>246</v>
      </c>
      <c r="H1376" s="81">
        <v>1976</v>
      </c>
      <c r="I1376" s="81" t="s">
        <v>247</v>
      </c>
    </row>
    <row r="1377" spans="1:9" x14ac:dyDescent="0.3">
      <c r="A1377" s="87">
        <v>8.2799999999999994</v>
      </c>
      <c r="B1377" s="87">
        <v>8.1</v>
      </c>
      <c r="C1377" s="81">
        <v>6120</v>
      </c>
      <c r="D1377" s="81">
        <v>1</v>
      </c>
      <c r="E1377" s="70">
        <v>2</v>
      </c>
      <c r="F1377" s="81" t="s">
        <v>260</v>
      </c>
      <c r="G1377" s="81" t="s">
        <v>246</v>
      </c>
      <c r="H1377" s="81">
        <v>1976</v>
      </c>
      <c r="I1377" s="81" t="s">
        <v>247</v>
      </c>
    </row>
    <row r="1378" spans="1:9" x14ac:dyDescent="0.3">
      <c r="A1378" s="87">
        <v>8.2899999999999991</v>
      </c>
      <c r="B1378" s="87">
        <v>9.1999999999999993</v>
      </c>
      <c r="C1378" s="81">
        <v>6120</v>
      </c>
      <c r="D1378" s="81">
        <v>1</v>
      </c>
      <c r="E1378" s="70">
        <v>2</v>
      </c>
      <c r="F1378" s="81" t="s">
        <v>260</v>
      </c>
      <c r="G1378" s="81" t="s">
        <v>246</v>
      </c>
      <c r="H1378" s="81">
        <v>1976</v>
      </c>
      <c r="I1378" s="81" t="s">
        <v>247</v>
      </c>
    </row>
    <row r="1379" spans="1:9" x14ac:dyDescent="0.3">
      <c r="A1379" s="87">
        <v>8.2899999999999991</v>
      </c>
      <c r="B1379" s="87">
        <v>9.2899999999999991</v>
      </c>
      <c r="C1379" s="81">
        <v>6120</v>
      </c>
      <c r="D1379" s="81">
        <v>1</v>
      </c>
      <c r="E1379" s="70">
        <v>2</v>
      </c>
      <c r="F1379" s="81" t="s">
        <v>260</v>
      </c>
      <c r="G1379" s="81" t="s">
        <v>246</v>
      </c>
      <c r="H1379" s="81">
        <v>1976</v>
      </c>
      <c r="I1379" s="81" t="s">
        <v>247</v>
      </c>
    </row>
    <row r="1380" spans="1:9" x14ac:dyDescent="0.3">
      <c r="A1380" s="87">
        <v>8.2899999999999991</v>
      </c>
      <c r="B1380" s="87">
        <v>13.11</v>
      </c>
      <c r="C1380" s="81">
        <v>6120</v>
      </c>
      <c r="D1380" s="81">
        <v>1</v>
      </c>
      <c r="E1380" s="70">
        <v>2</v>
      </c>
      <c r="F1380" s="81" t="s">
        <v>260</v>
      </c>
      <c r="G1380" s="81" t="s">
        <v>246</v>
      </c>
      <c r="H1380" s="81">
        <v>1976</v>
      </c>
      <c r="I1380" s="81" t="s">
        <v>247</v>
      </c>
    </row>
    <row r="1381" spans="1:9" x14ac:dyDescent="0.3">
      <c r="A1381" s="87">
        <v>8.3699999999999992</v>
      </c>
      <c r="B1381" s="87">
        <v>12.12</v>
      </c>
      <c r="C1381" s="81">
        <v>6120</v>
      </c>
      <c r="D1381" s="81">
        <v>1</v>
      </c>
      <c r="E1381" s="70">
        <v>2</v>
      </c>
      <c r="F1381" s="81" t="s">
        <v>260</v>
      </c>
      <c r="G1381" s="81" t="s">
        <v>246</v>
      </c>
      <c r="H1381" s="81">
        <v>1976</v>
      </c>
      <c r="I1381" s="81" t="s">
        <v>247</v>
      </c>
    </row>
    <row r="1382" spans="1:9" x14ac:dyDescent="0.3">
      <c r="A1382" s="87">
        <v>8.3699999999999992</v>
      </c>
      <c r="B1382" s="87">
        <v>12.12</v>
      </c>
      <c r="C1382" s="81">
        <v>6120</v>
      </c>
      <c r="D1382" s="81">
        <v>1</v>
      </c>
      <c r="E1382" s="70">
        <v>2</v>
      </c>
      <c r="F1382" s="81" t="s">
        <v>260</v>
      </c>
      <c r="G1382" s="81" t="s">
        <v>246</v>
      </c>
      <c r="H1382" s="81">
        <v>1976</v>
      </c>
      <c r="I1382" s="81" t="s">
        <v>247</v>
      </c>
    </row>
    <row r="1383" spans="1:9" x14ac:dyDescent="0.3">
      <c r="A1383" s="87">
        <v>9.1300000000000008</v>
      </c>
      <c r="B1383" s="87">
        <v>9.17</v>
      </c>
      <c r="C1383" s="81">
        <v>6120</v>
      </c>
      <c r="D1383" s="81">
        <v>1</v>
      </c>
      <c r="E1383" s="70">
        <v>2</v>
      </c>
      <c r="F1383" s="81" t="s">
        <v>260</v>
      </c>
      <c r="G1383" s="81" t="s">
        <v>246</v>
      </c>
      <c r="H1383" s="81">
        <v>1976</v>
      </c>
      <c r="I1383" s="81" t="s">
        <v>247</v>
      </c>
    </row>
    <row r="1384" spans="1:9" x14ac:dyDescent="0.3">
      <c r="A1384" s="87">
        <v>9.1300000000000008</v>
      </c>
      <c r="B1384" s="87">
        <v>12.23</v>
      </c>
      <c r="C1384" s="81">
        <v>6120</v>
      </c>
      <c r="D1384" s="81">
        <v>1</v>
      </c>
      <c r="E1384" s="70">
        <v>2</v>
      </c>
      <c r="F1384" s="81" t="s">
        <v>260</v>
      </c>
      <c r="G1384" s="81" t="s">
        <v>246</v>
      </c>
      <c r="H1384" s="81">
        <v>1976</v>
      </c>
      <c r="I1384" s="81" t="s">
        <v>247</v>
      </c>
    </row>
    <row r="1385" spans="1:9" x14ac:dyDescent="0.3">
      <c r="A1385" s="87">
        <v>9.16</v>
      </c>
      <c r="B1385" s="87">
        <v>8.1300000000000008</v>
      </c>
      <c r="C1385" s="81">
        <v>6120</v>
      </c>
      <c r="D1385" s="81">
        <v>1</v>
      </c>
      <c r="E1385" s="70">
        <v>2</v>
      </c>
      <c r="F1385" s="81" t="s">
        <v>260</v>
      </c>
      <c r="G1385" s="81" t="s">
        <v>246</v>
      </c>
      <c r="H1385" s="81">
        <v>1976</v>
      </c>
      <c r="I1385" s="81" t="s">
        <v>247</v>
      </c>
    </row>
    <row r="1386" spans="1:9" x14ac:dyDescent="0.3">
      <c r="A1386" s="87">
        <v>9.16</v>
      </c>
      <c r="B1386" s="87">
        <v>12.18</v>
      </c>
      <c r="C1386" s="81">
        <v>6120</v>
      </c>
      <c r="D1386" s="81">
        <v>1</v>
      </c>
      <c r="E1386" s="70">
        <v>2</v>
      </c>
      <c r="F1386" s="81" t="s">
        <v>260</v>
      </c>
      <c r="G1386" s="81" t="s">
        <v>246</v>
      </c>
      <c r="H1386" s="81">
        <v>1976</v>
      </c>
      <c r="I1386" s="81" t="s">
        <v>247</v>
      </c>
    </row>
    <row r="1387" spans="1:9" x14ac:dyDescent="0.3">
      <c r="A1387" s="87">
        <v>9.16</v>
      </c>
      <c r="B1387" s="87">
        <v>12.18</v>
      </c>
      <c r="C1387" s="81">
        <v>6120</v>
      </c>
      <c r="D1387" s="81">
        <v>1</v>
      </c>
      <c r="E1387" s="70">
        <v>2</v>
      </c>
      <c r="F1387" s="81" t="s">
        <v>260</v>
      </c>
      <c r="G1387" s="81" t="s">
        <v>246</v>
      </c>
      <c r="H1387" s="81">
        <v>1976</v>
      </c>
      <c r="I1387" s="81" t="s">
        <v>247</v>
      </c>
    </row>
    <row r="1388" spans="1:9" x14ac:dyDescent="0.3">
      <c r="A1388" s="87">
        <v>9.17</v>
      </c>
      <c r="B1388" s="87">
        <v>9.34</v>
      </c>
      <c r="C1388" s="81">
        <v>6120</v>
      </c>
      <c r="D1388" s="81">
        <v>1</v>
      </c>
      <c r="E1388" s="70">
        <v>2</v>
      </c>
      <c r="F1388" s="81" t="s">
        <v>260</v>
      </c>
      <c r="G1388" s="81" t="s">
        <v>246</v>
      </c>
      <c r="H1388" s="81">
        <v>1976</v>
      </c>
      <c r="I1388" s="81" t="s">
        <v>247</v>
      </c>
    </row>
    <row r="1389" spans="1:9" x14ac:dyDescent="0.3">
      <c r="A1389" s="87">
        <v>9.17</v>
      </c>
      <c r="B1389" s="87">
        <v>9.49</v>
      </c>
      <c r="C1389" s="81">
        <v>6120</v>
      </c>
      <c r="D1389" s="81">
        <v>1</v>
      </c>
      <c r="E1389" s="70">
        <v>2</v>
      </c>
      <c r="F1389" s="81" t="s">
        <v>260</v>
      </c>
      <c r="G1389" s="81" t="s">
        <v>246</v>
      </c>
      <c r="H1389" s="81">
        <v>1976</v>
      </c>
      <c r="I1389" s="81" t="s">
        <v>247</v>
      </c>
    </row>
    <row r="1390" spans="1:9" x14ac:dyDescent="0.3">
      <c r="A1390" s="87">
        <v>9.18</v>
      </c>
      <c r="B1390" s="87">
        <v>11.28</v>
      </c>
      <c r="C1390" s="81">
        <v>6120</v>
      </c>
      <c r="D1390" s="81">
        <v>1</v>
      </c>
      <c r="E1390" s="70">
        <v>2</v>
      </c>
      <c r="F1390" s="81" t="s">
        <v>260</v>
      </c>
      <c r="G1390" s="81" t="s">
        <v>246</v>
      </c>
      <c r="H1390" s="81">
        <v>1976</v>
      </c>
      <c r="I1390" s="81" t="s">
        <v>247</v>
      </c>
    </row>
    <row r="1391" spans="1:9" x14ac:dyDescent="0.3">
      <c r="A1391" s="87">
        <v>9.19</v>
      </c>
      <c r="B1391" s="87">
        <v>16.11</v>
      </c>
      <c r="C1391" s="81">
        <v>6120</v>
      </c>
      <c r="D1391" s="81">
        <v>1</v>
      </c>
      <c r="E1391" s="70">
        <v>2</v>
      </c>
      <c r="F1391" s="81" t="s">
        <v>260</v>
      </c>
      <c r="G1391" s="81" t="s">
        <v>246</v>
      </c>
      <c r="H1391" s="81">
        <v>1976</v>
      </c>
      <c r="I1391" s="81" t="s">
        <v>247</v>
      </c>
    </row>
    <row r="1392" spans="1:9" x14ac:dyDescent="0.3">
      <c r="A1392" s="87">
        <v>9.1999999999999993</v>
      </c>
      <c r="B1392" s="87">
        <v>10.15</v>
      </c>
      <c r="C1392" s="81">
        <v>6120</v>
      </c>
      <c r="D1392" s="81">
        <v>1</v>
      </c>
      <c r="E1392" s="70">
        <v>2</v>
      </c>
      <c r="F1392" s="81" t="s">
        <v>260</v>
      </c>
      <c r="G1392" s="81" t="s">
        <v>246</v>
      </c>
      <c r="H1392" s="81">
        <v>1976</v>
      </c>
      <c r="I1392" s="81" t="s">
        <v>247</v>
      </c>
    </row>
    <row r="1393" spans="1:9" x14ac:dyDescent="0.3">
      <c r="A1393" s="87">
        <v>9.1999999999999993</v>
      </c>
      <c r="B1393" s="87">
        <v>10.3</v>
      </c>
      <c r="C1393" s="81">
        <v>6120</v>
      </c>
      <c r="D1393" s="81">
        <v>1</v>
      </c>
      <c r="E1393" s="70">
        <v>2</v>
      </c>
      <c r="F1393" s="81" t="s">
        <v>260</v>
      </c>
      <c r="G1393" s="81" t="s">
        <v>246</v>
      </c>
      <c r="H1393" s="81">
        <v>1976</v>
      </c>
      <c r="I1393" s="81" t="s">
        <v>247</v>
      </c>
    </row>
    <row r="1394" spans="1:9" x14ac:dyDescent="0.3">
      <c r="A1394" s="87">
        <v>9.1999999999999993</v>
      </c>
      <c r="B1394" s="87">
        <v>14.09</v>
      </c>
      <c r="C1394" s="81">
        <v>6120</v>
      </c>
      <c r="D1394" s="81">
        <v>1</v>
      </c>
      <c r="E1394" s="70">
        <v>2</v>
      </c>
      <c r="F1394" s="81" t="s">
        <v>260</v>
      </c>
      <c r="G1394" s="81" t="s">
        <v>246</v>
      </c>
      <c r="H1394" s="81">
        <v>1976</v>
      </c>
      <c r="I1394" s="81" t="s">
        <v>247</v>
      </c>
    </row>
    <row r="1395" spans="1:9" x14ac:dyDescent="0.3">
      <c r="A1395" s="87">
        <v>9.23</v>
      </c>
      <c r="B1395" s="87">
        <v>10.15</v>
      </c>
      <c r="C1395" s="81">
        <v>6120</v>
      </c>
      <c r="D1395" s="81">
        <v>1</v>
      </c>
      <c r="E1395" s="70">
        <v>2</v>
      </c>
      <c r="F1395" s="81" t="s">
        <v>260</v>
      </c>
      <c r="G1395" s="81" t="s">
        <v>246</v>
      </c>
      <c r="H1395" s="81">
        <v>1976</v>
      </c>
      <c r="I1395" s="81" t="s">
        <v>247</v>
      </c>
    </row>
    <row r="1396" spans="1:9" x14ac:dyDescent="0.3">
      <c r="A1396" s="87">
        <v>9.23</v>
      </c>
      <c r="B1396" s="87">
        <v>10.15</v>
      </c>
      <c r="C1396" s="81">
        <v>6120</v>
      </c>
      <c r="D1396" s="81">
        <v>1</v>
      </c>
      <c r="E1396" s="70">
        <v>2</v>
      </c>
      <c r="F1396" s="81" t="s">
        <v>260</v>
      </c>
      <c r="G1396" s="81" t="s">
        <v>246</v>
      </c>
      <c r="H1396" s="81">
        <v>1976</v>
      </c>
      <c r="I1396" s="81" t="s">
        <v>247</v>
      </c>
    </row>
    <row r="1397" spans="1:9" x14ac:dyDescent="0.3">
      <c r="A1397" s="87">
        <v>9.23</v>
      </c>
      <c r="B1397" s="87">
        <v>13.13</v>
      </c>
      <c r="C1397" s="81">
        <v>6120</v>
      </c>
      <c r="D1397" s="81">
        <v>1</v>
      </c>
      <c r="E1397" s="70">
        <v>2</v>
      </c>
      <c r="F1397" s="81" t="s">
        <v>260</v>
      </c>
      <c r="G1397" s="81" t="s">
        <v>246</v>
      </c>
      <c r="H1397" s="81">
        <v>1976</v>
      </c>
      <c r="I1397" s="81" t="s">
        <v>247</v>
      </c>
    </row>
    <row r="1398" spans="1:9" x14ac:dyDescent="0.3">
      <c r="A1398" s="87">
        <v>9.24</v>
      </c>
      <c r="B1398" s="87">
        <v>10.47</v>
      </c>
      <c r="C1398" s="81">
        <v>6120</v>
      </c>
      <c r="D1398" s="81">
        <v>1</v>
      </c>
      <c r="E1398" s="70">
        <v>2</v>
      </c>
      <c r="F1398" s="81" t="s">
        <v>260</v>
      </c>
      <c r="G1398" s="81" t="s">
        <v>246</v>
      </c>
      <c r="H1398" s="81">
        <v>1976</v>
      </c>
      <c r="I1398" s="81" t="s">
        <v>247</v>
      </c>
    </row>
    <row r="1399" spans="1:9" x14ac:dyDescent="0.3">
      <c r="A1399" s="87">
        <v>9.24</v>
      </c>
      <c r="B1399" s="87">
        <v>11.11</v>
      </c>
      <c r="C1399" s="81">
        <v>6120</v>
      </c>
      <c r="D1399" s="81">
        <v>1</v>
      </c>
      <c r="E1399" s="70">
        <v>2</v>
      </c>
      <c r="F1399" s="81" t="s">
        <v>260</v>
      </c>
      <c r="G1399" s="81" t="s">
        <v>246</v>
      </c>
      <c r="H1399" s="81">
        <v>1976</v>
      </c>
      <c r="I1399" s="81" t="s">
        <v>247</v>
      </c>
    </row>
    <row r="1400" spans="1:9" x14ac:dyDescent="0.3">
      <c r="A1400" s="87">
        <v>9.33</v>
      </c>
      <c r="B1400" s="87">
        <v>11.16</v>
      </c>
      <c r="C1400" s="81">
        <v>6120</v>
      </c>
      <c r="D1400" s="81">
        <v>1</v>
      </c>
      <c r="E1400" s="70">
        <v>2</v>
      </c>
      <c r="F1400" s="81" t="s">
        <v>260</v>
      </c>
      <c r="G1400" s="81" t="s">
        <v>246</v>
      </c>
      <c r="H1400" s="81">
        <v>1976</v>
      </c>
      <c r="I1400" s="81" t="s">
        <v>247</v>
      </c>
    </row>
    <row r="1401" spans="1:9" x14ac:dyDescent="0.3">
      <c r="A1401" s="87">
        <v>9.33</v>
      </c>
      <c r="B1401" s="87">
        <v>11.16</v>
      </c>
      <c r="C1401" s="81">
        <v>6120</v>
      </c>
      <c r="D1401" s="81">
        <v>1</v>
      </c>
      <c r="E1401" s="70">
        <v>2</v>
      </c>
      <c r="F1401" s="81" t="s">
        <v>260</v>
      </c>
      <c r="G1401" s="81" t="s">
        <v>246</v>
      </c>
      <c r="H1401" s="81">
        <v>1976</v>
      </c>
      <c r="I1401" s="81" t="s">
        <v>247</v>
      </c>
    </row>
    <row r="1402" spans="1:9" x14ac:dyDescent="0.3">
      <c r="A1402" s="87">
        <v>9.33</v>
      </c>
      <c r="B1402" s="87">
        <v>11.25</v>
      </c>
      <c r="C1402" s="81">
        <v>6120</v>
      </c>
      <c r="D1402" s="81">
        <v>1</v>
      </c>
      <c r="E1402" s="70">
        <v>2</v>
      </c>
      <c r="F1402" s="81" t="s">
        <v>260</v>
      </c>
      <c r="G1402" s="81" t="s">
        <v>246</v>
      </c>
      <c r="H1402" s="81">
        <v>1976</v>
      </c>
      <c r="I1402" s="81" t="s">
        <v>247</v>
      </c>
    </row>
    <row r="1403" spans="1:9" x14ac:dyDescent="0.3">
      <c r="A1403" s="87">
        <v>9.34</v>
      </c>
      <c r="B1403" s="87">
        <v>12.18</v>
      </c>
      <c r="C1403" s="81">
        <v>6120</v>
      </c>
      <c r="D1403" s="81">
        <v>1</v>
      </c>
      <c r="E1403" s="70">
        <v>2</v>
      </c>
      <c r="F1403" s="81" t="s">
        <v>260</v>
      </c>
      <c r="G1403" s="81" t="s">
        <v>246</v>
      </c>
      <c r="H1403" s="81">
        <v>1976</v>
      </c>
      <c r="I1403" s="81" t="s">
        <v>247</v>
      </c>
    </row>
    <row r="1404" spans="1:9" x14ac:dyDescent="0.3">
      <c r="A1404" s="87">
        <v>9.35</v>
      </c>
      <c r="B1404" s="87">
        <v>9.17</v>
      </c>
      <c r="C1404" s="81">
        <v>6120</v>
      </c>
      <c r="D1404" s="81">
        <v>1</v>
      </c>
      <c r="E1404" s="70">
        <v>2</v>
      </c>
      <c r="F1404" s="81" t="s">
        <v>260</v>
      </c>
      <c r="G1404" s="81" t="s">
        <v>246</v>
      </c>
      <c r="H1404" s="81">
        <v>1976</v>
      </c>
      <c r="I1404" s="81" t="s">
        <v>247</v>
      </c>
    </row>
    <row r="1405" spans="1:9" x14ac:dyDescent="0.3">
      <c r="A1405" s="87">
        <v>9.35</v>
      </c>
      <c r="B1405" s="87">
        <v>9.34</v>
      </c>
      <c r="C1405" s="81">
        <v>6120</v>
      </c>
      <c r="D1405" s="81">
        <v>1</v>
      </c>
      <c r="E1405" s="70">
        <v>2</v>
      </c>
      <c r="F1405" s="81" t="s">
        <v>260</v>
      </c>
      <c r="G1405" s="81" t="s">
        <v>246</v>
      </c>
      <c r="H1405" s="81">
        <v>1976</v>
      </c>
      <c r="I1405" s="81" t="s">
        <v>247</v>
      </c>
    </row>
    <row r="1406" spans="1:9" x14ac:dyDescent="0.3">
      <c r="A1406" s="87">
        <v>9.35</v>
      </c>
      <c r="B1406" s="87">
        <v>10.15</v>
      </c>
      <c r="C1406" s="81">
        <v>6120</v>
      </c>
      <c r="D1406" s="81">
        <v>1</v>
      </c>
      <c r="E1406" s="70">
        <v>2</v>
      </c>
      <c r="F1406" s="81" t="s">
        <v>260</v>
      </c>
      <c r="G1406" s="81" t="s">
        <v>246</v>
      </c>
      <c r="H1406" s="81">
        <v>1976</v>
      </c>
      <c r="I1406" s="81" t="s">
        <v>247</v>
      </c>
    </row>
    <row r="1407" spans="1:9" x14ac:dyDescent="0.3">
      <c r="A1407" s="87">
        <v>9.35</v>
      </c>
      <c r="B1407" s="87">
        <v>10.3</v>
      </c>
      <c r="C1407" s="81">
        <v>6120</v>
      </c>
      <c r="D1407" s="81">
        <v>1</v>
      </c>
      <c r="E1407" s="70">
        <v>2</v>
      </c>
      <c r="F1407" s="81" t="s">
        <v>260</v>
      </c>
      <c r="G1407" s="81" t="s">
        <v>246</v>
      </c>
      <c r="H1407" s="81">
        <v>1976</v>
      </c>
      <c r="I1407" s="81" t="s">
        <v>247</v>
      </c>
    </row>
    <row r="1408" spans="1:9" x14ac:dyDescent="0.3">
      <c r="A1408" s="87">
        <v>9.36</v>
      </c>
      <c r="B1408" s="87">
        <v>10.47</v>
      </c>
      <c r="C1408" s="81">
        <v>6120</v>
      </c>
      <c r="D1408" s="81">
        <v>1</v>
      </c>
      <c r="E1408" s="70">
        <v>2</v>
      </c>
      <c r="F1408" s="81" t="s">
        <v>260</v>
      </c>
      <c r="G1408" s="81" t="s">
        <v>246</v>
      </c>
      <c r="H1408" s="81">
        <v>1976</v>
      </c>
      <c r="I1408" s="81" t="s">
        <v>247</v>
      </c>
    </row>
    <row r="1409" spans="1:9" x14ac:dyDescent="0.3">
      <c r="A1409" s="87">
        <v>9.3800000000000008</v>
      </c>
      <c r="B1409" s="87">
        <v>13.1</v>
      </c>
      <c r="C1409" s="81">
        <v>6120</v>
      </c>
      <c r="D1409" s="81">
        <v>1</v>
      </c>
      <c r="E1409" s="70">
        <v>2</v>
      </c>
      <c r="F1409" s="81" t="s">
        <v>260</v>
      </c>
      <c r="G1409" s="81" t="s">
        <v>246</v>
      </c>
      <c r="H1409" s="81">
        <v>1976</v>
      </c>
      <c r="I1409" s="81" t="s">
        <v>247</v>
      </c>
    </row>
    <row r="1410" spans="1:9" x14ac:dyDescent="0.3">
      <c r="A1410" s="87">
        <v>10.15</v>
      </c>
      <c r="B1410" s="87">
        <v>12.09</v>
      </c>
      <c r="C1410" s="81">
        <v>6120</v>
      </c>
      <c r="D1410" s="81">
        <v>1</v>
      </c>
      <c r="E1410" s="70">
        <v>2</v>
      </c>
      <c r="F1410" s="81" t="s">
        <v>260</v>
      </c>
      <c r="G1410" s="81" t="s">
        <v>246</v>
      </c>
      <c r="H1410" s="81">
        <v>1976</v>
      </c>
      <c r="I1410" s="81" t="s">
        <v>247</v>
      </c>
    </row>
    <row r="1411" spans="1:9" x14ac:dyDescent="0.3">
      <c r="A1411" s="87">
        <v>10.16</v>
      </c>
      <c r="B1411" s="87">
        <v>13.3</v>
      </c>
      <c r="C1411" s="81">
        <v>6120</v>
      </c>
      <c r="D1411" s="81">
        <v>1</v>
      </c>
      <c r="E1411" s="70">
        <v>2</v>
      </c>
      <c r="F1411" s="81" t="s">
        <v>260</v>
      </c>
      <c r="G1411" s="81" t="s">
        <v>246</v>
      </c>
      <c r="H1411" s="81">
        <v>1976</v>
      </c>
      <c r="I1411" s="81" t="s">
        <v>247</v>
      </c>
    </row>
    <row r="1412" spans="1:9" x14ac:dyDescent="0.3">
      <c r="A1412" s="87">
        <v>10.19</v>
      </c>
      <c r="B1412" s="87">
        <v>13.16</v>
      </c>
      <c r="C1412" s="81">
        <v>6120</v>
      </c>
      <c r="D1412" s="81">
        <v>1</v>
      </c>
      <c r="E1412" s="70">
        <v>2</v>
      </c>
      <c r="F1412" s="81" t="s">
        <v>260</v>
      </c>
      <c r="G1412" s="81" t="s">
        <v>246</v>
      </c>
      <c r="H1412" s="81">
        <v>1976</v>
      </c>
      <c r="I1412" s="81" t="s">
        <v>247</v>
      </c>
    </row>
    <row r="1413" spans="1:9" x14ac:dyDescent="0.3">
      <c r="A1413" s="87">
        <v>10.210000000000001</v>
      </c>
      <c r="B1413" s="87">
        <v>11.1</v>
      </c>
      <c r="C1413" s="81">
        <v>6120</v>
      </c>
      <c r="D1413" s="81">
        <v>1</v>
      </c>
      <c r="E1413" s="70">
        <v>2</v>
      </c>
      <c r="F1413" s="81" t="s">
        <v>260</v>
      </c>
      <c r="G1413" s="81" t="s">
        <v>246</v>
      </c>
      <c r="H1413" s="81">
        <v>1976</v>
      </c>
      <c r="I1413" s="81" t="s">
        <v>247</v>
      </c>
    </row>
    <row r="1414" spans="1:9" x14ac:dyDescent="0.3">
      <c r="A1414" s="87">
        <v>10.210000000000001</v>
      </c>
      <c r="B1414" s="87">
        <v>11.22</v>
      </c>
      <c r="C1414" s="81">
        <v>6120</v>
      </c>
      <c r="D1414" s="81">
        <v>1</v>
      </c>
      <c r="E1414" s="70">
        <v>2</v>
      </c>
      <c r="F1414" s="81" t="s">
        <v>260</v>
      </c>
      <c r="G1414" s="81" t="s">
        <v>246</v>
      </c>
      <c r="H1414" s="81">
        <v>1976</v>
      </c>
      <c r="I1414" s="81" t="s">
        <v>247</v>
      </c>
    </row>
    <row r="1415" spans="1:9" x14ac:dyDescent="0.3">
      <c r="A1415" s="87">
        <v>10.23</v>
      </c>
      <c r="B1415" s="87">
        <v>10.09</v>
      </c>
      <c r="C1415" s="81">
        <v>6120</v>
      </c>
      <c r="D1415" s="81">
        <v>1</v>
      </c>
      <c r="E1415" s="70">
        <v>2</v>
      </c>
      <c r="F1415" s="81" t="s">
        <v>260</v>
      </c>
      <c r="G1415" s="81" t="s">
        <v>246</v>
      </c>
      <c r="H1415" s="81">
        <v>1976</v>
      </c>
      <c r="I1415" s="81" t="s">
        <v>247</v>
      </c>
    </row>
    <row r="1416" spans="1:9" x14ac:dyDescent="0.3">
      <c r="A1416" s="87">
        <v>10.23</v>
      </c>
      <c r="B1416" s="87">
        <v>10.23</v>
      </c>
      <c r="C1416" s="81">
        <v>6120</v>
      </c>
      <c r="D1416" s="81">
        <v>1</v>
      </c>
      <c r="E1416" s="70">
        <v>2</v>
      </c>
      <c r="F1416" s="81" t="s">
        <v>260</v>
      </c>
      <c r="G1416" s="81" t="s">
        <v>246</v>
      </c>
      <c r="H1416" s="81">
        <v>1976</v>
      </c>
      <c r="I1416" s="81" t="s">
        <v>247</v>
      </c>
    </row>
    <row r="1417" spans="1:9" x14ac:dyDescent="0.3">
      <c r="A1417" s="87">
        <v>10.31</v>
      </c>
      <c r="B1417" s="87">
        <v>13.3</v>
      </c>
      <c r="C1417" s="81">
        <v>6120</v>
      </c>
      <c r="D1417" s="81">
        <v>1</v>
      </c>
      <c r="E1417" s="70">
        <v>2</v>
      </c>
      <c r="F1417" s="81" t="s">
        <v>260</v>
      </c>
      <c r="G1417" s="81" t="s">
        <v>246</v>
      </c>
      <c r="H1417" s="81">
        <v>1976</v>
      </c>
      <c r="I1417" s="81" t="s">
        <v>247</v>
      </c>
    </row>
    <row r="1418" spans="1:9" x14ac:dyDescent="0.3">
      <c r="A1418" s="87">
        <v>10.34</v>
      </c>
      <c r="B1418" s="87">
        <v>13.15</v>
      </c>
      <c r="C1418" s="81">
        <v>6120</v>
      </c>
      <c r="D1418" s="81">
        <v>1</v>
      </c>
      <c r="E1418" s="70">
        <v>2</v>
      </c>
      <c r="F1418" s="81" t="s">
        <v>260</v>
      </c>
      <c r="G1418" s="81" t="s">
        <v>246</v>
      </c>
      <c r="H1418" s="81">
        <v>1976</v>
      </c>
      <c r="I1418" s="81" t="s">
        <v>247</v>
      </c>
    </row>
    <row r="1419" spans="1:9" x14ac:dyDescent="0.3">
      <c r="A1419" s="87">
        <v>10.36</v>
      </c>
      <c r="B1419" s="87">
        <v>11.04</v>
      </c>
      <c r="C1419" s="81">
        <v>6120</v>
      </c>
      <c r="D1419" s="81">
        <v>1</v>
      </c>
      <c r="E1419" s="70">
        <v>2</v>
      </c>
      <c r="F1419" s="81" t="s">
        <v>260</v>
      </c>
      <c r="G1419" s="81" t="s">
        <v>246</v>
      </c>
      <c r="H1419" s="81">
        <v>1976</v>
      </c>
      <c r="I1419" s="81" t="s">
        <v>247</v>
      </c>
    </row>
    <row r="1420" spans="1:9" x14ac:dyDescent="0.3">
      <c r="A1420" s="87">
        <v>10.36</v>
      </c>
      <c r="B1420" s="87">
        <v>11.22</v>
      </c>
      <c r="C1420" s="81">
        <v>6120</v>
      </c>
      <c r="D1420" s="81">
        <v>1</v>
      </c>
      <c r="E1420" s="70">
        <v>2</v>
      </c>
      <c r="F1420" s="81" t="s">
        <v>260</v>
      </c>
      <c r="G1420" s="81" t="s">
        <v>246</v>
      </c>
      <c r="H1420" s="81">
        <v>1976</v>
      </c>
      <c r="I1420" s="81" t="s">
        <v>247</v>
      </c>
    </row>
    <row r="1421" spans="1:9" x14ac:dyDescent="0.3">
      <c r="A1421" s="87">
        <v>10.41</v>
      </c>
      <c r="B1421" s="87">
        <v>10.09</v>
      </c>
      <c r="C1421" s="81">
        <v>6120</v>
      </c>
      <c r="D1421" s="81">
        <v>1</v>
      </c>
      <c r="E1421" s="70">
        <v>2</v>
      </c>
      <c r="F1421" s="81" t="s">
        <v>260</v>
      </c>
      <c r="G1421" s="81" t="s">
        <v>246</v>
      </c>
      <c r="H1421" s="81">
        <v>1976</v>
      </c>
      <c r="I1421" s="81" t="s">
        <v>247</v>
      </c>
    </row>
    <row r="1422" spans="1:9" x14ac:dyDescent="0.3">
      <c r="A1422" s="87">
        <v>11.25</v>
      </c>
      <c r="B1422" s="87">
        <v>13.09</v>
      </c>
      <c r="C1422" s="81">
        <v>6120</v>
      </c>
      <c r="D1422" s="81">
        <v>1</v>
      </c>
      <c r="E1422" s="70">
        <v>2</v>
      </c>
      <c r="F1422" s="81" t="s">
        <v>260</v>
      </c>
      <c r="G1422" s="81" t="s">
        <v>246</v>
      </c>
      <c r="H1422" s="81">
        <v>1976</v>
      </c>
      <c r="I1422" s="81" t="s">
        <v>247</v>
      </c>
    </row>
    <row r="1423" spans="1:9" x14ac:dyDescent="0.3">
      <c r="A1423" s="87">
        <v>12.18</v>
      </c>
      <c r="B1423" s="87">
        <v>12.1</v>
      </c>
      <c r="C1423" s="81">
        <v>6120</v>
      </c>
      <c r="D1423" s="81">
        <v>1</v>
      </c>
      <c r="E1423" s="70">
        <v>2</v>
      </c>
      <c r="F1423" s="81" t="s">
        <v>260</v>
      </c>
      <c r="G1423" s="81" t="s">
        <v>246</v>
      </c>
      <c r="H1423" s="81">
        <v>1976</v>
      </c>
      <c r="I1423" s="81" t="s">
        <v>247</v>
      </c>
    </row>
    <row r="1424" spans="1:9" x14ac:dyDescent="0.3">
      <c r="A1424" s="87">
        <v>12.2</v>
      </c>
      <c r="B1424" s="87">
        <v>15.08</v>
      </c>
      <c r="C1424" s="81">
        <v>6120</v>
      </c>
      <c r="D1424" s="81">
        <v>1</v>
      </c>
      <c r="E1424" s="70">
        <v>2</v>
      </c>
      <c r="F1424" s="81" t="s">
        <v>260</v>
      </c>
      <c r="G1424" s="81" t="s">
        <v>246</v>
      </c>
      <c r="H1424" s="81">
        <v>1976</v>
      </c>
      <c r="I1424" s="81" t="s">
        <v>247</v>
      </c>
    </row>
    <row r="1425" spans="1:9" x14ac:dyDescent="0.3">
      <c r="A1425" s="87">
        <v>12.22</v>
      </c>
      <c r="B1425" s="87">
        <v>13.15</v>
      </c>
      <c r="C1425" s="81">
        <v>6120</v>
      </c>
      <c r="D1425" s="81">
        <v>1</v>
      </c>
      <c r="E1425" s="70">
        <v>2</v>
      </c>
      <c r="F1425" s="81" t="s">
        <v>260</v>
      </c>
      <c r="G1425" s="81" t="s">
        <v>246</v>
      </c>
      <c r="H1425" s="81">
        <v>1976</v>
      </c>
      <c r="I1425" s="81" t="s">
        <v>247</v>
      </c>
    </row>
    <row r="1426" spans="1:9" x14ac:dyDescent="0.3">
      <c r="A1426" s="87">
        <v>13.21</v>
      </c>
      <c r="B1426" s="87">
        <v>13.08</v>
      </c>
      <c r="C1426" s="81">
        <v>6120</v>
      </c>
      <c r="D1426" s="81">
        <v>1</v>
      </c>
      <c r="E1426" s="70">
        <v>2</v>
      </c>
      <c r="F1426" s="81" t="s">
        <v>260</v>
      </c>
      <c r="G1426" s="81" t="s">
        <v>246</v>
      </c>
      <c r="H1426" s="81">
        <v>1976</v>
      </c>
      <c r="I1426" s="81" t="s">
        <v>247</v>
      </c>
    </row>
    <row r="1427" spans="1:9" x14ac:dyDescent="0.3">
      <c r="A1427" s="87">
        <v>14.2</v>
      </c>
      <c r="B1427" s="87">
        <v>16.11</v>
      </c>
      <c r="C1427" s="81">
        <v>6120</v>
      </c>
      <c r="D1427" s="81">
        <v>1</v>
      </c>
      <c r="E1427" s="70">
        <v>2</v>
      </c>
      <c r="F1427" s="81" t="s">
        <v>260</v>
      </c>
      <c r="G1427" s="81" t="s">
        <v>246</v>
      </c>
      <c r="H1427" s="81">
        <v>1976</v>
      </c>
      <c r="I1427" s="81" t="s">
        <v>247</v>
      </c>
    </row>
    <row r="1428" spans="1:9" x14ac:dyDescent="0.3">
      <c r="A1428" s="87">
        <v>0.63</v>
      </c>
      <c r="B1428" s="87">
        <v>4.8099999999999996</v>
      </c>
      <c r="C1428" s="81">
        <v>6120</v>
      </c>
      <c r="D1428" s="81">
        <v>1</v>
      </c>
      <c r="E1428" s="70">
        <v>3</v>
      </c>
      <c r="F1428" s="81" t="s">
        <v>260</v>
      </c>
      <c r="G1428" s="81" t="s">
        <v>246</v>
      </c>
      <c r="H1428" s="81">
        <v>1976</v>
      </c>
      <c r="I1428" s="81" t="s">
        <v>247</v>
      </c>
    </row>
    <row r="1429" spans="1:9" x14ac:dyDescent="0.3">
      <c r="A1429" s="87">
        <v>0.64</v>
      </c>
      <c r="B1429" s="87">
        <v>9.81</v>
      </c>
      <c r="C1429" s="81">
        <v>6120</v>
      </c>
      <c r="D1429" s="81">
        <v>1</v>
      </c>
      <c r="E1429" s="70">
        <v>3</v>
      </c>
      <c r="F1429" s="81" t="s">
        <v>260</v>
      </c>
      <c r="G1429" s="81" t="s">
        <v>246</v>
      </c>
      <c r="H1429" s="81">
        <v>1976</v>
      </c>
      <c r="I1429" s="81" t="s">
        <v>247</v>
      </c>
    </row>
    <row r="1430" spans="1:9" x14ac:dyDescent="0.3">
      <c r="A1430" s="87">
        <v>0.65</v>
      </c>
      <c r="B1430" s="87">
        <v>8.7799999999999994</v>
      </c>
      <c r="C1430" s="81">
        <v>6120</v>
      </c>
      <c r="D1430" s="81">
        <v>1</v>
      </c>
      <c r="E1430" s="70">
        <v>3</v>
      </c>
      <c r="F1430" s="81" t="s">
        <v>260</v>
      </c>
      <c r="G1430" s="81" t="s">
        <v>246</v>
      </c>
      <c r="H1430" s="81">
        <v>1976</v>
      </c>
      <c r="I1430" s="81" t="s">
        <v>247</v>
      </c>
    </row>
    <row r="1431" spans="1:9" x14ac:dyDescent="0.3">
      <c r="A1431" s="87">
        <v>0.66</v>
      </c>
      <c r="B1431" s="87">
        <v>0.85</v>
      </c>
      <c r="C1431" s="81">
        <v>6120</v>
      </c>
      <c r="D1431" s="81">
        <v>1</v>
      </c>
      <c r="E1431" s="70">
        <v>3</v>
      </c>
      <c r="F1431" s="81" t="s">
        <v>260</v>
      </c>
      <c r="G1431" s="81" t="s">
        <v>246</v>
      </c>
      <c r="H1431" s="81">
        <v>1976</v>
      </c>
      <c r="I1431" s="81" t="s">
        <v>247</v>
      </c>
    </row>
    <row r="1432" spans="1:9" x14ac:dyDescent="0.3">
      <c r="A1432" s="87">
        <v>0.66</v>
      </c>
      <c r="B1432" s="87">
        <v>1.02</v>
      </c>
      <c r="C1432" s="81">
        <v>6120</v>
      </c>
      <c r="D1432" s="81">
        <v>1</v>
      </c>
      <c r="E1432" s="70">
        <v>3</v>
      </c>
      <c r="F1432" s="81" t="s">
        <v>260</v>
      </c>
      <c r="G1432" s="81" t="s">
        <v>246</v>
      </c>
      <c r="H1432" s="81">
        <v>1976</v>
      </c>
      <c r="I1432" s="81" t="s">
        <v>247</v>
      </c>
    </row>
    <row r="1433" spans="1:9" x14ac:dyDescent="0.3">
      <c r="A1433" s="87">
        <v>0.66</v>
      </c>
      <c r="B1433" s="87">
        <v>1.1599999999999999</v>
      </c>
      <c r="C1433" s="81">
        <v>6120</v>
      </c>
      <c r="D1433" s="81">
        <v>1</v>
      </c>
      <c r="E1433" s="70">
        <v>3</v>
      </c>
      <c r="F1433" s="81" t="s">
        <v>260</v>
      </c>
      <c r="G1433" s="81" t="s">
        <v>246</v>
      </c>
      <c r="H1433" s="81">
        <v>1976</v>
      </c>
      <c r="I1433" s="81" t="s">
        <v>247</v>
      </c>
    </row>
    <row r="1434" spans="1:9" x14ac:dyDescent="0.3">
      <c r="A1434" s="87">
        <v>0.69</v>
      </c>
      <c r="B1434" s="87">
        <v>7.72</v>
      </c>
      <c r="C1434" s="81">
        <v>6120</v>
      </c>
      <c r="D1434" s="81">
        <v>1</v>
      </c>
      <c r="E1434" s="70">
        <v>3</v>
      </c>
      <c r="F1434" s="81" t="s">
        <v>260</v>
      </c>
      <c r="G1434" s="81" t="s">
        <v>246</v>
      </c>
      <c r="H1434" s="81">
        <v>1976</v>
      </c>
      <c r="I1434" s="81" t="s">
        <v>247</v>
      </c>
    </row>
    <row r="1435" spans="1:9" x14ac:dyDescent="0.3">
      <c r="A1435" s="87">
        <v>0.7</v>
      </c>
      <c r="B1435" s="87">
        <v>6.74</v>
      </c>
      <c r="C1435" s="81">
        <v>6120</v>
      </c>
      <c r="D1435" s="81">
        <v>1</v>
      </c>
      <c r="E1435" s="70">
        <v>3</v>
      </c>
      <c r="F1435" s="81" t="s">
        <v>260</v>
      </c>
      <c r="G1435" s="81" t="s">
        <v>246</v>
      </c>
      <c r="H1435" s="81">
        <v>1976</v>
      </c>
      <c r="I1435" s="81" t="s">
        <v>247</v>
      </c>
    </row>
    <row r="1436" spans="1:9" x14ac:dyDescent="0.3">
      <c r="A1436" s="87">
        <v>0.78</v>
      </c>
      <c r="B1436" s="87">
        <v>4.8099999999999996</v>
      </c>
      <c r="C1436" s="81">
        <v>6120</v>
      </c>
      <c r="D1436" s="81">
        <v>1</v>
      </c>
      <c r="E1436" s="70">
        <v>3</v>
      </c>
      <c r="F1436" s="81" t="s">
        <v>260</v>
      </c>
      <c r="G1436" s="81" t="s">
        <v>246</v>
      </c>
      <c r="H1436" s="81">
        <v>1976</v>
      </c>
      <c r="I1436" s="81" t="s">
        <v>247</v>
      </c>
    </row>
    <row r="1437" spans="1:9" x14ac:dyDescent="0.3">
      <c r="A1437" s="87">
        <v>0.79</v>
      </c>
      <c r="B1437" s="87">
        <v>6.74</v>
      </c>
      <c r="C1437" s="81">
        <v>6120</v>
      </c>
      <c r="D1437" s="81">
        <v>1</v>
      </c>
      <c r="E1437" s="70">
        <v>3</v>
      </c>
      <c r="F1437" s="81" t="s">
        <v>260</v>
      </c>
      <c r="G1437" s="81" t="s">
        <v>246</v>
      </c>
      <c r="H1437" s="81">
        <v>1976</v>
      </c>
      <c r="I1437" s="81" t="s">
        <v>247</v>
      </c>
    </row>
    <row r="1438" spans="1:9" x14ac:dyDescent="0.3">
      <c r="A1438" s="87">
        <v>0.79</v>
      </c>
      <c r="B1438" s="87">
        <v>6.74</v>
      </c>
      <c r="C1438" s="81">
        <v>6120</v>
      </c>
      <c r="D1438" s="81">
        <v>1</v>
      </c>
      <c r="E1438" s="70">
        <v>3</v>
      </c>
      <c r="F1438" s="81" t="s">
        <v>260</v>
      </c>
      <c r="G1438" s="81" t="s">
        <v>246</v>
      </c>
      <c r="H1438" s="81">
        <v>1976</v>
      </c>
      <c r="I1438" s="81" t="s">
        <v>247</v>
      </c>
    </row>
    <row r="1439" spans="1:9" x14ac:dyDescent="0.3">
      <c r="A1439" s="87">
        <v>0.81</v>
      </c>
      <c r="B1439" s="87">
        <v>0.85</v>
      </c>
      <c r="C1439" s="81">
        <v>6120</v>
      </c>
      <c r="D1439" s="81">
        <v>1</v>
      </c>
      <c r="E1439" s="70">
        <v>3</v>
      </c>
      <c r="F1439" s="81" t="s">
        <v>260</v>
      </c>
      <c r="G1439" s="81" t="s">
        <v>246</v>
      </c>
      <c r="H1439" s="81">
        <v>1976</v>
      </c>
      <c r="I1439" s="81" t="s">
        <v>247</v>
      </c>
    </row>
    <row r="1440" spans="1:9" x14ac:dyDescent="0.3">
      <c r="A1440" s="87">
        <v>0.84</v>
      </c>
      <c r="B1440" s="87">
        <v>0.93</v>
      </c>
      <c r="C1440" s="81">
        <v>6120</v>
      </c>
      <c r="D1440" s="81">
        <v>1</v>
      </c>
      <c r="E1440" s="70">
        <v>3</v>
      </c>
      <c r="F1440" s="81" t="s">
        <v>260</v>
      </c>
      <c r="G1440" s="81" t="s">
        <v>246</v>
      </c>
      <c r="H1440" s="81">
        <v>1976</v>
      </c>
      <c r="I1440" s="81" t="s">
        <v>247</v>
      </c>
    </row>
    <row r="1441" spans="1:9" x14ac:dyDescent="0.3">
      <c r="A1441" s="87">
        <v>0.84</v>
      </c>
      <c r="B1441" s="87">
        <v>1.08</v>
      </c>
      <c r="C1441" s="81">
        <v>6120</v>
      </c>
      <c r="D1441" s="81">
        <v>1</v>
      </c>
      <c r="E1441" s="70">
        <v>3</v>
      </c>
      <c r="F1441" s="81" t="s">
        <v>260</v>
      </c>
      <c r="G1441" s="81" t="s">
        <v>246</v>
      </c>
      <c r="H1441" s="81">
        <v>1976</v>
      </c>
      <c r="I1441" s="81" t="s">
        <v>247</v>
      </c>
    </row>
    <row r="1442" spans="1:9" x14ac:dyDescent="0.3">
      <c r="A1442" s="87">
        <v>1.69</v>
      </c>
      <c r="B1442" s="87">
        <v>4.8099999999999996</v>
      </c>
      <c r="C1442" s="81">
        <v>6120</v>
      </c>
      <c r="D1442" s="81">
        <v>1</v>
      </c>
      <c r="E1442" s="70">
        <v>3</v>
      </c>
      <c r="F1442" s="81" t="s">
        <v>260</v>
      </c>
      <c r="G1442" s="81" t="s">
        <v>246</v>
      </c>
      <c r="H1442" s="81">
        <v>1976</v>
      </c>
      <c r="I1442" s="81" t="s">
        <v>247</v>
      </c>
    </row>
    <row r="1443" spans="1:9" x14ac:dyDescent="0.3">
      <c r="A1443" s="87">
        <v>1.69</v>
      </c>
      <c r="B1443" s="87">
        <v>8.75</v>
      </c>
      <c r="C1443" s="81">
        <v>6120</v>
      </c>
      <c r="D1443" s="81">
        <v>1</v>
      </c>
      <c r="E1443" s="70">
        <v>3</v>
      </c>
      <c r="F1443" s="81" t="s">
        <v>260</v>
      </c>
      <c r="G1443" s="81" t="s">
        <v>246</v>
      </c>
      <c r="H1443" s="81">
        <v>1976</v>
      </c>
      <c r="I1443" s="81" t="s">
        <v>247</v>
      </c>
    </row>
    <row r="1444" spans="1:9" x14ac:dyDescent="0.3">
      <c r="A1444" s="87">
        <v>1.7</v>
      </c>
      <c r="B1444" s="87">
        <v>7.72</v>
      </c>
      <c r="C1444" s="81">
        <v>6120</v>
      </c>
      <c r="D1444" s="81">
        <v>1</v>
      </c>
      <c r="E1444" s="70">
        <v>3</v>
      </c>
      <c r="F1444" s="81" t="s">
        <v>260</v>
      </c>
      <c r="G1444" s="81" t="s">
        <v>246</v>
      </c>
      <c r="H1444" s="81">
        <v>1976</v>
      </c>
      <c r="I1444" s="81" t="s">
        <v>247</v>
      </c>
    </row>
    <row r="1445" spans="1:9" x14ac:dyDescent="0.3">
      <c r="A1445" s="87">
        <v>1.72</v>
      </c>
      <c r="B1445" s="87">
        <v>11.77</v>
      </c>
      <c r="C1445" s="81">
        <v>6120</v>
      </c>
      <c r="D1445" s="81">
        <v>1</v>
      </c>
      <c r="E1445" s="70">
        <v>3</v>
      </c>
      <c r="F1445" s="81" t="s">
        <v>260</v>
      </c>
      <c r="G1445" s="81" t="s">
        <v>246</v>
      </c>
      <c r="H1445" s="81">
        <v>1976</v>
      </c>
      <c r="I1445" s="81" t="s">
        <v>247</v>
      </c>
    </row>
    <row r="1446" spans="1:9" x14ac:dyDescent="0.3">
      <c r="A1446" s="87">
        <v>1.77</v>
      </c>
      <c r="B1446" s="87">
        <v>6.8</v>
      </c>
      <c r="C1446" s="81">
        <v>6120</v>
      </c>
      <c r="D1446" s="81">
        <v>1</v>
      </c>
      <c r="E1446" s="70">
        <v>3</v>
      </c>
      <c r="F1446" s="81" t="s">
        <v>260</v>
      </c>
      <c r="G1446" s="81" t="s">
        <v>246</v>
      </c>
      <c r="H1446" s="81">
        <v>1976</v>
      </c>
      <c r="I1446" s="81" t="s">
        <v>247</v>
      </c>
    </row>
    <row r="1447" spans="1:9" x14ac:dyDescent="0.3">
      <c r="A1447" s="87">
        <v>1.82</v>
      </c>
      <c r="B1447" s="87">
        <v>4.8099999999999996</v>
      </c>
      <c r="C1447" s="81">
        <v>6120</v>
      </c>
      <c r="D1447" s="81">
        <v>1</v>
      </c>
      <c r="E1447" s="70">
        <v>3</v>
      </c>
      <c r="F1447" s="81" t="s">
        <v>260</v>
      </c>
      <c r="G1447" s="81" t="s">
        <v>246</v>
      </c>
      <c r="H1447" s="81">
        <v>1976</v>
      </c>
      <c r="I1447" s="81" t="s">
        <v>247</v>
      </c>
    </row>
    <row r="1448" spans="1:9" x14ac:dyDescent="0.3">
      <c r="A1448" s="87">
        <v>1.82</v>
      </c>
      <c r="B1448" s="87">
        <v>4.8099999999999996</v>
      </c>
      <c r="C1448" s="81">
        <v>6120</v>
      </c>
      <c r="D1448" s="81">
        <v>1</v>
      </c>
      <c r="E1448" s="70">
        <v>3</v>
      </c>
      <c r="F1448" s="81" t="s">
        <v>260</v>
      </c>
      <c r="G1448" s="81" t="s">
        <v>246</v>
      </c>
      <c r="H1448" s="81">
        <v>1976</v>
      </c>
      <c r="I1448" s="81" t="s">
        <v>247</v>
      </c>
    </row>
    <row r="1449" spans="1:9" x14ac:dyDescent="0.3">
      <c r="A1449" s="87">
        <v>2.71</v>
      </c>
      <c r="B1449" s="87">
        <v>10.76</v>
      </c>
      <c r="C1449" s="81">
        <v>6120</v>
      </c>
      <c r="D1449" s="81">
        <v>1</v>
      </c>
      <c r="E1449" s="70">
        <v>3</v>
      </c>
      <c r="F1449" s="81" t="s">
        <v>260</v>
      </c>
      <c r="G1449" s="81" t="s">
        <v>246</v>
      </c>
      <c r="H1449" s="81">
        <v>1976</v>
      </c>
      <c r="I1449" s="81" t="s">
        <v>247</v>
      </c>
    </row>
    <row r="1450" spans="1:9" x14ac:dyDescent="0.3">
      <c r="A1450" s="87">
        <v>2.76</v>
      </c>
      <c r="B1450" s="87">
        <v>8.69</v>
      </c>
      <c r="C1450" s="81">
        <v>6120</v>
      </c>
      <c r="D1450" s="81">
        <v>1</v>
      </c>
      <c r="E1450" s="70">
        <v>3</v>
      </c>
      <c r="F1450" s="81" t="s">
        <v>260</v>
      </c>
      <c r="G1450" s="81" t="s">
        <v>246</v>
      </c>
      <c r="H1450" s="81">
        <v>1976</v>
      </c>
      <c r="I1450" s="81" t="s">
        <v>247</v>
      </c>
    </row>
    <row r="1451" spans="1:9" x14ac:dyDescent="0.3">
      <c r="A1451" s="87">
        <v>2.77</v>
      </c>
      <c r="B1451" s="87">
        <v>3.69</v>
      </c>
      <c r="C1451" s="81">
        <v>6120</v>
      </c>
      <c r="D1451" s="81">
        <v>1</v>
      </c>
      <c r="E1451" s="70">
        <v>3</v>
      </c>
      <c r="F1451" s="81" t="s">
        <v>260</v>
      </c>
      <c r="G1451" s="81" t="s">
        <v>246</v>
      </c>
      <c r="H1451" s="81">
        <v>1976</v>
      </c>
      <c r="I1451" s="81" t="s">
        <v>247</v>
      </c>
    </row>
    <row r="1452" spans="1:9" x14ac:dyDescent="0.3">
      <c r="A1452" s="87">
        <v>2.78</v>
      </c>
      <c r="B1452" s="87">
        <v>9.76</v>
      </c>
      <c r="C1452" s="81">
        <v>6120</v>
      </c>
      <c r="D1452" s="81">
        <v>1</v>
      </c>
      <c r="E1452" s="70">
        <v>3</v>
      </c>
      <c r="F1452" s="81" t="s">
        <v>260</v>
      </c>
      <c r="G1452" s="81" t="s">
        <v>246</v>
      </c>
      <c r="H1452" s="81">
        <v>1976</v>
      </c>
      <c r="I1452" s="81" t="s">
        <v>247</v>
      </c>
    </row>
    <row r="1453" spans="1:9" x14ac:dyDescent="0.3">
      <c r="A1453" s="87">
        <v>2.83</v>
      </c>
      <c r="B1453" s="87">
        <v>7.72</v>
      </c>
      <c r="C1453" s="81">
        <v>6120</v>
      </c>
      <c r="D1453" s="81">
        <v>1</v>
      </c>
      <c r="E1453" s="70">
        <v>3</v>
      </c>
      <c r="F1453" s="81" t="s">
        <v>260</v>
      </c>
      <c r="G1453" s="81" t="s">
        <v>246</v>
      </c>
      <c r="H1453" s="81">
        <v>1976</v>
      </c>
      <c r="I1453" s="81" t="s">
        <v>247</v>
      </c>
    </row>
    <row r="1454" spans="1:9" x14ac:dyDescent="0.3">
      <c r="A1454" s="87">
        <v>2.84</v>
      </c>
      <c r="B1454" s="87">
        <v>9.6999999999999993</v>
      </c>
      <c r="C1454" s="81">
        <v>6120</v>
      </c>
      <c r="D1454" s="81">
        <v>1</v>
      </c>
      <c r="E1454" s="70">
        <v>3</v>
      </c>
      <c r="F1454" s="81" t="s">
        <v>260</v>
      </c>
      <c r="G1454" s="81" t="s">
        <v>246</v>
      </c>
      <c r="H1454" s="81">
        <v>1976</v>
      </c>
      <c r="I1454" s="81" t="s">
        <v>247</v>
      </c>
    </row>
    <row r="1455" spans="1:9" x14ac:dyDescent="0.3">
      <c r="A1455" s="87">
        <v>2.84</v>
      </c>
      <c r="B1455" s="87">
        <v>9.6999999999999993</v>
      </c>
      <c r="C1455" s="81">
        <v>6120</v>
      </c>
      <c r="D1455" s="81">
        <v>1</v>
      </c>
      <c r="E1455" s="70">
        <v>3</v>
      </c>
      <c r="F1455" s="81" t="s">
        <v>260</v>
      </c>
      <c r="G1455" s="81" t="s">
        <v>246</v>
      </c>
      <c r="H1455" s="81">
        <v>1976</v>
      </c>
      <c r="I1455" s="81" t="s">
        <v>247</v>
      </c>
    </row>
    <row r="1456" spans="1:9" x14ac:dyDescent="0.3">
      <c r="A1456" s="87">
        <v>3.72</v>
      </c>
      <c r="B1456" s="87">
        <v>12.69</v>
      </c>
      <c r="C1456" s="81">
        <v>6120</v>
      </c>
      <c r="D1456" s="81">
        <v>1</v>
      </c>
      <c r="E1456" s="70">
        <v>3</v>
      </c>
      <c r="F1456" s="81" t="s">
        <v>260</v>
      </c>
      <c r="G1456" s="81" t="s">
        <v>246</v>
      </c>
      <c r="H1456" s="81">
        <v>1976</v>
      </c>
      <c r="I1456" s="81" t="s">
        <v>247</v>
      </c>
    </row>
    <row r="1457" spans="1:10" x14ac:dyDescent="0.3">
      <c r="A1457" s="87">
        <v>3.75</v>
      </c>
      <c r="B1457" s="87">
        <v>9.76</v>
      </c>
      <c r="C1457" s="81">
        <v>6120</v>
      </c>
      <c r="D1457" s="81">
        <v>1</v>
      </c>
      <c r="E1457" s="70">
        <v>3</v>
      </c>
      <c r="F1457" s="81" t="s">
        <v>260</v>
      </c>
      <c r="G1457" s="81" t="s">
        <v>246</v>
      </c>
      <c r="H1457" s="81">
        <v>1976</v>
      </c>
      <c r="I1457" s="81" t="s">
        <v>247</v>
      </c>
    </row>
    <row r="1458" spans="1:10" x14ac:dyDescent="0.3">
      <c r="A1458" s="87">
        <v>3.76</v>
      </c>
      <c r="B1458" s="87">
        <v>8.7200000000000006</v>
      </c>
      <c r="C1458" s="81">
        <v>6120</v>
      </c>
      <c r="D1458" s="81">
        <v>1</v>
      </c>
      <c r="E1458" s="70">
        <v>3</v>
      </c>
      <c r="F1458" s="81" t="s">
        <v>260</v>
      </c>
      <c r="G1458" s="81" t="s">
        <v>246</v>
      </c>
      <c r="H1458" s="81">
        <v>1976</v>
      </c>
      <c r="I1458" s="81" t="s">
        <v>247</v>
      </c>
    </row>
    <row r="1459" spans="1:10" x14ac:dyDescent="0.3">
      <c r="A1459" s="87">
        <v>3.77</v>
      </c>
      <c r="B1459" s="87">
        <v>7.75</v>
      </c>
      <c r="C1459" s="81">
        <v>6120</v>
      </c>
      <c r="D1459" s="81">
        <v>1</v>
      </c>
      <c r="E1459" s="70">
        <v>3</v>
      </c>
      <c r="F1459" s="81" t="s">
        <v>260</v>
      </c>
      <c r="G1459" s="81" t="s">
        <v>246</v>
      </c>
      <c r="H1459" s="81">
        <v>1976</v>
      </c>
      <c r="I1459" s="81" t="s">
        <v>247</v>
      </c>
    </row>
    <row r="1460" spans="1:10" x14ac:dyDescent="0.3">
      <c r="A1460" s="87">
        <v>3.79</v>
      </c>
      <c r="B1460" s="87">
        <v>5.73</v>
      </c>
      <c r="C1460" s="81">
        <v>6120</v>
      </c>
      <c r="D1460" s="81">
        <v>1</v>
      </c>
      <c r="E1460" s="70">
        <v>3</v>
      </c>
      <c r="F1460" s="81" t="s">
        <v>260</v>
      </c>
      <c r="G1460" s="81" t="s">
        <v>246</v>
      </c>
      <c r="H1460" s="81">
        <v>1976</v>
      </c>
      <c r="I1460" s="81" t="s">
        <v>247</v>
      </c>
    </row>
    <row r="1461" spans="1:10" x14ac:dyDescent="0.3">
      <c r="A1461" s="87">
        <v>3.88</v>
      </c>
      <c r="B1461" s="87">
        <v>12.69</v>
      </c>
      <c r="C1461" s="81">
        <v>6120</v>
      </c>
      <c r="D1461" s="81">
        <v>1</v>
      </c>
      <c r="E1461" s="70">
        <v>3</v>
      </c>
      <c r="F1461" s="81" t="s">
        <v>260</v>
      </c>
      <c r="G1461" s="81" t="s">
        <v>246</v>
      </c>
      <c r="H1461" s="81">
        <v>1976</v>
      </c>
      <c r="I1461" s="81" t="s">
        <v>247</v>
      </c>
    </row>
    <row r="1462" spans="1:10" x14ac:dyDescent="0.3">
      <c r="A1462" s="87">
        <v>4.7300000000000004</v>
      </c>
      <c r="B1462" s="87">
        <v>12.75</v>
      </c>
      <c r="C1462" s="81">
        <v>6120</v>
      </c>
      <c r="D1462" s="81">
        <v>1</v>
      </c>
      <c r="E1462" s="70">
        <v>3</v>
      </c>
      <c r="F1462" s="81" t="s">
        <v>260</v>
      </c>
      <c r="G1462" s="81" t="s">
        <v>246</v>
      </c>
      <c r="H1462" s="81">
        <v>1976</v>
      </c>
      <c r="I1462" s="81" t="s">
        <v>247</v>
      </c>
    </row>
    <row r="1463" spans="1:10" x14ac:dyDescent="0.3">
      <c r="A1463" s="87">
        <v>4.76</v>
      </c>
      <c r="B1463" s="87">
        <v>9.76</v>
      </c>
      <c r="C1463" s="81">
        <v>6120</v>
      </c>
      <c r="D1463" s="81">
        <v>1</v>
      </c>
      <c r="E1463" s="70">
        <v>3</v>
      </c>
      <c r="F1463" s="81" t="s">
        <v>260</v>
      </c>
      <c r="G1463" s="81" t="s">
        <v>246</v>
      </c>
      <c r="H1463" s="81">
        <v>1976</v>
      </c>
      <c r="I1463" s="81" t="s">
        <v>247</v>
      </c>
    </row>
    <row r="1464" spans="1:10" x14ac:dyDescent="0.3">
      <c r="A1464" s="87">
        <v>4.7699999999999996</v>
      </c>
      <c r="B1464" s="87">
        <v>4.84</v>
      </c>
      <c r="C1464" s="81">
        <v>6120</v>
      </c>
      <c r="D1464" s="81">
        <v>1</v>
      </c>
      <c r="E1464" s="70">
        <v>3</v>
      </c>
      <c r="F1464" s="81" t="s">
        <v>260</v>
      </c>
      <c r="G1464" s="81" t="s">
        <v>246</v>
      </c>
      <c r="H1464" s="81">
        <v>1976</v>
      </c>
      <c r="I1464" s="81" t="s">
        <v>247</v>
      </c>
    </row>
    <row r="1465" spans="1:10" s="85" customFormat="1" x14ac:dyDescent="0.3">
      <c r="A1465" s="87">
        <v>4.7699999999999996</v>
      </c>
      <c r="B1465" s="87">
        <v>4.99</v>
      </c>
      <c r="C1465" s="81">
        <v>6120</v>
      </c>
      <c r="D1465" s="81">
        <v>1</v>
      </c>
      <c r="E1465" s="70">
        <v>3</v>
      </c>
      <c r="F1465" s="81" t="s">
        <v>260</v>
      </c>
      <c r="G1465" s="81" t="s">
        <v>246</v>
      </c>
      <c r="H1465" s="81">
        <v>1976</v>
      </c>
      <c r="I1465" s="81" t="s">
        <v>247</v>
      </c>
      <c r="J1465" s="81"/>
    </row>
    <row r="1466" spans="1:10" x14ac:dyDescent="0.3">
      <c r="A1466" s="87">
        <v>4.78</v>
      </c>
      <c r="B1466" s="87">
        <v>10.73</v>
      </c>
      <c r="C1466" s="81">
        <v>6120</v>
      </c>
      <c r="D1466" s="81">
        <v>1</v>
      </c>
      <c r="E1466" s="70">
        <v>3</v>
      </c>
      <c r="F1466" s="81" t="s">
        <v>260</v>
      </c>
      <c r="G1466" s="81" t="s">
        <v>246</v>
      </c>
      <c r="H1466" s="81">
        <v>1976</v>
      </c>
      <c r="I1466" s="81" t="s">
        <v>247</v>
      </c>
    </row>
    <row r="1467" spans="1:10" x14ac:dyDescent="0.3">
      <c r="A1467" s="87">
        <v>4.79</v>
      </c>
      <c r="B1467" s="87">
        <v>5.76</v>
      </c>
      <c r="C1467" s="81">
        <v>6120</v>
      </c>
      <c r="D1467" s="81">
        <v>1</v>
      </c>
      <c r="E1467" s="70">
        <v>3</v>
      </c>
      <c r="F1467" s="81" t="s">
        <v>260</v>
      </c>
      <c r="G1467" s="81" t="s">
        <v>246</v>
      </c>
      <c r="H1467" s="81">
        <v>1976</v>
      </c>
      <c r="I1467" s="81" t="s">
        <v>247</v>
      </c>
    </row>
    <row r="1468" spans="1:10" x14ac:dyDescent="0.3">
      <c r="A1468" s="87">
        <v>4.79</v>
      </c>
      <c r="B1468" s="87">
        <v>5.88</v>
      </c>
      <c r="C1468" s="81">
        <v>6120</v>
      </c>
      <c r="D1468" s="81">
        <v>1</v>
      </c>
      <c r="E1468" s="70">
        <v>3</v>
      </c>
      <c r="F1468" s="81" t="s">
        <v>260</v>
      </c>
      <c r="G1468" s="81" t="s">
        <v>246</v>
      </c>
      <c r="H1468" s="81">
        <v>1976</v>
      </c>
      <c r="I1468" s="81" t="s">
        <v>247</v>
      </c>
    </row>
    <row r="1469" spans="1:10" x14ac:dyDescent="0.3">
      <c r="A1469" s="87">
        <v>4.79</v>
      </c>
      <c r="B1469" s="87">
        <v>6.08</v>
      </c>
      <c r="C1469" s="81">
        <v>6120</v>
      </c>
      <c r="D1469" s="81">
        <v>1</v>
      </c>
      <c r="E1469" s="70">
        <v>3</v>
      </c>
      <c r="F1469" s="81" t="s">
        <v>260</v>
      </c>
      <c r="G1469" s="81" t="s">
        <v>246</v>
      </c>
      <c r="H1469" s="81">
        <v>1976</v>
      </c>
      <c r="I1469" s="81" t="s">
        <v>247</v>
      </c>
    </row>
    <row r="1470" spans="1:10" x14ac:dyDescent="0.3">
      <c r="A1470" s="87">
        <v>4.79</v>
      </c>
      <c r="B1470" s="87">
        <v>6.74</v>
      </c>
      <c r="C1470" s="81">
        <v>6120</v>
      </c>
      <c r="D1470" s="81">
        <v>1</v>
      </c>
      <c r="E1470" s="70">
        <v>3</v>
      </c>
      <c r="F1470" s="81" t="s">
        <v>260</v>
      </c>
      <c r="G1470" s="81" t="s">
        <v>246</v>
      </c>
      <c r="H1470" s="81">
        <v>1976</v>
      </c>
      <c r="I1470" s="81" t="s">
        <v>247</v>
      </c>
    </row>
    <row r="1471" spans="1:10" x14ac:dyDescent="0.3">
      <c r="A1471" s="87">
        <v>4.8</v>
      </c>
      <c r="B1471" s="87">
        <v>8.75</v>
      </c>
      <c r="C1471" s="81">
        <v>6120</v>
      </c>
      <c r="D1471" s="81">
        <v>1</v>
      </c>
      <c r="E1471" s="70">
        <v>3</v>
      </c>
      <c r="F1471" s="81" t="s">
        <v>260</v>
      </c>
      <c r="G1471" s="81" t="s">
        <v>246</v>
      </c>
      <c r="H1471" s="81">
        <v>1976</v>
      </c>
      <c r="I1471" s="81" t="s">
        <v>247</v>
      </c>
    </row>
    <row r="1472" spans="1:10" x14ac:dyDescent="0.3">
      <c r="A1472" s="87">
        <v>4.88</v>
      </c>
      <c r="B1472" s="87">
        <v>9.76</v>
      </c>
      <c r="C1472" s="81">
        <v>6120</v>
      </c>
      <c r="D1472" s="81">
        <v>1</v>
      </c>
      <c r="E1472" s="70">
        <v>3</v>
      </c>
      <c r="F1472" s="81" t="s">
        <v>260</v>
      </c>
      <c r="G1472" s="81" t="s">
        <v>246</v>
      </c>
      <c r="H1472" s="81">
        <v>1976</v>
      </c>
      <c r="I1472" s="81" t="s">
        <v>247</v>
      </c>
    </row>
    <row r="1473" spans="1:9" x14ac:dyDescent="0.3">
      <c r="A1473" s="87">
        <v>4.88</v>
      </c>
      <c r="B1473" s="87">
        <v>9.76</v>
      </c>
      <c r="C1473" s="81">
        <v>6120</v>
      </c>
      <c r="D1473" s="81">
        <v>1</v>
      </c>
      <c r="E1473" s="70">
        <v>3</v>
      </c>
      <c r="F1473" s="81" t="s">
        <v>260</v>
      </c>
      <c r="G1473" s="81" t="s">
        <v>246</v>
      </c>
      <c r="H1473" s="81">
        <v>1976</v>
      </c>
      <c r="I1473" s="81" t="s">
        <v>247</v>
      </c>
    </row>
    <row r="1474" spans="1:9" x14ac:dyDescent="0.3">
      <c r="A1474" s="87">
        <v>4.95</v>
      </c>
      <c r="B1474" s="87">
        <v>5.76</v>
      </c>
      <c r="C1474" s="81">
        <v>6120</v>
      </c>
      <c r="D1474" s="81">
        <v>1</v>
      </c>
      <c r="E1474" s="70">
        <v>3</v>
      </c>
      <c r="F1474" s="81" t="s">
        <v>260</v>
      </c>
      <c r="G1474" s="81" t="s">
        <v>246</v>
      </c>
      <c r="H1474" s="81">
        <v>1976</v>
      </c>
      <c r="I1474" s="81" t="s">
        <v>247</v>
      </c>
    </row>
    <row r="1475" spans="1:9" x14ac:dyDescent="0.3">
      <c r="A1475" s="87">
        <v>4.95</v>
      </c>
      <c r="B1475" s="87">
        <v>5.88</v>
      </c>
      <c r="C1475" s="81">
        <v>6120</v>
      </c>
      <c r="D1475" s="81">
        <v>1</v>
      </c>
      <c r="E1475" s="70">
        <v>3</v>
      </c>
      <c r="F1475" s="81" t="s">
        <v>260</v>
      </c>
      <c r="G1475" s="81" t="s">
        <v>246</v>
      </c>
      <c r="H1475" s="81">
        <v>1976</v>
      </c>
      <c r="I1475" s="81" t="s">
        <v>247</v>
      </c>
    </row>
    <row r="1476" spans="1:9" x14ac:dyDescent="0.3">
      <c r="A1476" s="87">
        <v>4.99</v>
      </c>
      <c r="B1476" s="87">
        <v>4.84</v>
      </c>
      <c r="C1476" s="81">
        <v>6120</v>
      </c>
      <c r="D1476" s="81">
        <v>1</v>
      </c>
      <c r="E1476" s="70">
        <v>3</v>
      </c>
      <c r="F1476" s="81" t="s">
        <v>260</v>
      </c>
      <c r="G1476" s="81" t="s">
        <v>246</v>
      </c>
      <c r="H1476" s="81">
        <v>1976</v>
      </c>
      <c r="I1476" s="81" t="s">
        <v>247</v>
      </c>
    </row>
    <row r="1477" spans="1:9" x14ac:dyDescent="0.3">
      <c r="A1477" s="87">
        <v>5.74</v>
      </c>
      <c r="B1477" s="87">
        <v>5.88</v>
      </c>
      <c r="C1477" s="81">
        <v>6120</v>
      </c>
      <c r="D1477" s="81">
        <v>1</v>
      </c>
      <c r="E1477" s="70">
        <v>3</v>
      </c>
      <c r="F1477" s="81" t="s">
        <v>260</v>
      </c>
      <c r="G1477" s="81" t="s">
        <v>246</v>
      </c>
      <c r="H1477" s="81">
        <v>1976</v>
      </c>
      <c r="I1477" s="81" t="s">
        <v>247</v>
      </c>
    </row>
    <row r="1478" spans="1:9" x14ac:dyDescent="0.3">
      <c r="A1478" s="87">
        <v>5.76</v>
      </c>
      <c r="B1478" s="87">
        <v>10.65</v>
      </c>
      <c r="C1478" s="81">
        <v>6120</v>
      </c>
      <c r="D1478" s="81">
        <v>1</v>
      </c>
      <c r="E1478" s="70">
        <v>3</v>
      </c>
      <c r="F1478" s="81" t="s">
        <v>260</v>
      </c>
      <c r="G1478" s="81" t="s">
        <v>246</v>
      </c>
      <c r="H1478" s="81">
        <v>1976</v>
      </c>
      <c r="I1478" s="81" t="s">
        <v>247</v>
      </c>
    </row>
    <row r="1479" spans="1:9" x14ac:dyDescent="0.3">
      <c r="A1479" s="87">
        <v>5.79</v>
      </c>
      <c r="B1479" s="87">
        <v>6.74</v>
      </c>
      <c r="C1479" s="81">
        <v>6120</v>
      </c>
      <c r="D1479" s="81">
        <v>1</v>
      </c>
      <c r="E1479" s="70">
        <v>3</v>
      </c>
      <c r="F1479" s="81" t="s">
        <v>260</v>
      </c>
      <c r="G1479" s="81" t="s">
        <v>246</v>
      </c>
      <c r="H1479" s="81">
        <v>1976</v>
      </c>
      <c r="I1479" s="81" t="s">
        <v>247</v>
      </c>
    </row>
    <row r="1480" spans="1:9" x14ac:dyDescent="0.3">
      <c r="A1480" s="87">
        <v>5.79</v>
      </c>
      <c r="B1480" s="87">
        <v>6.85</v>
      </c>
      <c r="C1480" s="81">
        <v>6120</v>
      </c>
      <c r="D1480" s="81">
        <v>1</v>
      </c>
      <c r="E1480" s="70">
        <v>3</v>
      </c>
      <c r="F1480" s="81" t="s">
        <v>260</v>
      </c>
      <c r="G1480" s="81" t="s">
        <v>246</v>
      </c>
      <c r="H1480" s="81">
        <v>1976</v>
      </c>
      <c r="I1480" s="81" t="s">
        <v>247</v>
      </c>
    </row>
    <row r="1481" spans="1:9" x14ac:dyDescent="0.3">
      <c r="A1481" s="87">
        <v>5.79</v>
      </c>
      <c r="B1481" s="87">
        <v>6.85</v>
      </c>
      <c r="C1481" s="81">
        <v>6120</v>
      </c>
      <c r="D1481" s="81">
        <v>1</v>
      </c>
      <c r="E1481" s="70">
        <v>3</v>
      </c>
      <c r="F1481" s="81" t="s">
        <v>260</v>
      </c>
      <c r="G1481" s="81" t="s">
        <v>246</v>
      </c>
      <c r="H1481" s="81">
        <v>1976</v>
      </c>
      <c r="I1481" s="81" t="s">
        <v>247</v>
      </c>
    </row>
    <row r="1482" spans="1:9" x14ac:dyDescent="0.3">
      <c r="A1482" s="87">
        <v>5.79</v>
      </c>
      <c r="B1482" s="87">
        <v>6.91</v>
      </c>
      <c r="C1482" s="81">
        <v>6120</v>
      </c>
      <c r="D1482" s="81">
        <v>1</v>
      </c>
      <c r="E1482" s="70">
        <v>3</v>
      </c>
      <c r="F1482" s="81" t="s">
        <v>260</v>
      </c>
      <c r="G1482" s="81" t="s">
        <v>246</v>
      </c>
      <c r="H1482" s="81">
        <v>1976</v>
      </c>
      <c r="I1482" s="81" t="s">
        <v>247</v>
      </c>
    </row>
    <row r="1483" spans="1:9" x14ac:dyDescent="0.3">
      <c r="A1483" s="87">
        <v>5.79</v>
      </c>
      <c r="B1483" s="87">
        <v>6.91</v>
      </c>
      <c r="C1483" s="81">
        <v>6120</v>
      </c>
      <c r="D1483" s="81">
        <v>1</v>
      </c>
      <c r="E1483" s="70">
        <v>3</v>
      </c>
      <c r="F1483" s="81" t="s">
        <v>260</v>
      </c>
      <c r="G1483" s="81" t="s">
        <v>246</v>
      </c>
      <c r="H1483" s="81">
        <v>1976</v>
      </c>
      <c r="I1483" s="81" t="s">
        <v>247</v>
      </c>
    </row>
    <row r="1484" spans="1:9" x14ac:dyDescent="0.3">
      <c r="A1484" s="87">
        <v>5.8</v>
      </c>
      <c r="B1484" s="87">
        <v>5.79</v>
      </c>
      <c r="C1484" s="81">
        <v>6120</v>
      </c>
      <c r="D1484" s="81">
        <v>1</v>
      </c>
      <c r="E1484" s="70">
        <v>3</v>
      </c>
      <c r="F1484" s="81" t="s">
        <v>260</v>
      </c>
      <c r="G1484" s="81" t="s">
        <v>246</v>
      </c>
      <c r="H1484" s="81">
        <v>1976</v>
      </c>
      <c r="I1484" s="81" t="s">
        <v>247</v>
      </c>
    </row>
    <row r="1485" spans="1:9" x14ac:dyDescent="0.3">
      <c r="A1485" s="87">
        <v>5.8</v>
      </c>
      <c r="B1485" s="87">
        <v>5.79</v>
      </c>
      <c r="C1485" s="81">
        <v>6120</v>
      </c>
      <c r="D1485" s="81">
        <v>1</v>
      </c>
      <c r="E1485" s="70">
        <v>3</v>
      </c>
      <c r="F1485" s="81" t="s">
        <v>260</v>
      </c>
      <c r="G1485" s="81" t="s">
        <v>246</v>
      </c>
      <c r="H1485" s="81">
        <v>1976</v>
      </c>
      <c r="I1485" s="81" t="s">
        <v>247</v>
      </c>
    </row>
    <row r="1486" spans="1:9" x14ac:dyDescent="0.3">
      <c r="A1486" s="87">
        <v>5.8</v>
      </c>
      <c r="B1486" s="87">
        <v>12.63</v>
      </c>
      <c r="C1486" s="81">
        <v>6120</v>
      </c>
      <c r="D1486" s="81">
        <v>1</v>
      </c>
      <c r="E1486" s="70">
        <v>3</v>
      </c>
      <c r="F1486" s="81" t="s">
        <v>260</v>
      </c>
      <c r="G1486" s="81" t="s">
        <v>246</v>
      </c>
      <c r="H1486" s="81">
        <v>1976</v>
      </c>
      <c r="I1486" s="81" t="s">
        <v>247</v>
      </c>
    </row>
    <row r="1487" spans="1:9" x14ac:dyDescent="0.3">
      <c r="A1487" s="87">
        <v>5.81</v>
      </c>
      <c r="B1487" s="87">
        <v>7.72</v>
      </c>
      <c r="C1487" s="81">
        <v>6120</v>
      </c>
      <c r="D1487" s="81">
        <v>1</v>
      </c>
      <c r="E1487" s="70">
        <v>3</v>
      </c>
      <c r="F1487" s="81" t="s">
        <v>260</v>
      </c>
      <c r="G1487" s="81" t="s">
        <v>246</v>
      </c>
      <c r="H1487" s="81">
        <v>1976</v>
      </c>
      <c r="I1487" s="81" t="s">
        <v>247</v>
      </c>
    </row>
    <row r="1488" spans="1:9" x14ac:dyDescent="0.3">
      <c r="A1488" s="87">
        <v>5.81</v>
      </c>
      <c r="B1488" s="87">
        <v>11.68</v>
      </c>
      <c r="C1488" s="81">
        <v>6120</v>
      </c>
      <c r="D1488" s="81">
        <v>1</v>
      </c>
      <c r="E1488" s="70">
        <v>3</v>
      </c>
      <c r="F1488" s="81" t="s">
        <v>260</v>
      </c>
      <c r="G1488" s="81" t="s">
        <v>246</v>
      </c>
      <c r="H1488" s="81">
        <v>1976</v>
      </c>
      <c r="I1488" s="81" t="s">
        <v>247</v>
      </c>
    </row>
    <row r="1489" spans="1:9" x14ac:dyDescent="0.3">
      <c r="A1489" s="87">
        <v>5.83</v>
      </c>
      <c r="B1489" s="87">
        <v>8.7200000000000006</v>
      </c>
      <c r="C1489" s="81">
        <v>6120</v>
      </c>
      <c r="D1489" s="81">
        <v>1</v>
      </c>
      <c r="E1489" s="70">
        <v>3</v>
      </c>
      <c r="F1489" s="81" t="s">
        <v>260</v>
      </c>
      <c r="G1489" s="81" t="s">
        <v>246</v>
      </c>
      <c r="H1489" s="81">
        <v>1976</v>
      </c>
      <c r="I1489" s="81" t="s">
        <v>247</v>
      </c>
    </row>
    <row r="1490" spans="1:9" x14ac:dyDescent="0.3">
      <c r="A1490" s="87">
        <v>5.83</v>
      </c>
      <c r="B1490" s="87">
        <v>9.6999999999999993</v>
      </c>
      <c r="C1490" s="81">
        <v>6120</v>
      </c>
      <c r="D1490" s="81">
        <v>1</v>
      </c>
      <c r="E1490" s="70">
        <v>3</v>
      </c>
      <c r="F1490" s="81" t="s">
        <v>260</v>
      </c>
      <c r="G1490" s="81" t="s">
        <v>246</v>
      </c>
      <c r="H1490" s="81">
        <v>1976</v>
      </c>
      <c r="I1490" s="81" t="s">
        <v>247</v>
      </c>
    </row>
    <row r="1491" spans="1:9" x14ac:dyDescent="0.3">
      <c r="A1491" s="87">
        <v>5.84</v>
      </c>
      <c r="B1491" s="87">
        <v>11.83</v>
      </c>
      <c r="C1491" s="81">
        <v>6120</v>
      </c>
      <c r="D1491" s="81">
        <v>1</v>
      </c>
      <c r="E1491" s="70">
        <v>3</v>
      </c>
      <c r="F1491" s="81" t="s">
        <v>260</v>
      </c>
      <c r="G1491" s="81" t="s">
        <v>246</v>
      </c>
      <c r="H1491" s="81">
        <v>1976</v>
      </c>
      <c r="I1491" s="81" t="s">
        <v>247</v>
      </c>
    </row>
    <row r="1492" spans="1:9" x14ac:dyDescent="0.3">
      <c r="A1492" s="87">
        <v>5.84</v>
      </c>
      <c r="B1492" s="87">
        <v>11.83</v>
      </c>
      <c r="C1492" s="81">
        <v>6120</v>
      </c>
      <c r="D1492" s="81">
        <v>1</v>
      </c>
      <c r="E1492" s="70">
        <v>3</v>
      </c>
      <c r="F1492" s="81" t="s">
        <v>260</v>
      </c>
      <c r="G1492" s="81" t="s">
        <v>246</v>
      </c>
      <c r="H1492" s="81">
        <v>1976</v>
      </c>
      <c r="I1492" s="81" t="s">
        <v>247</v>
      </c>
    </row>
    <row r="1493" spans="1:9" x14ac:dyDescent="0.3">
      <c r="A1493" s="87">
        <v>5.85</v>
      </c>
      <c r="B1493" s="87">
        <v>10.79</v>
      </c>
      <c r="C1493" s="81">
        <v>6120</v>
      </c>
      <c r="D1493" s="81">
        <v>1</v>
      </c>
      <c r="E1493" s="70">
        <v>3</v>
      </c>
      <c r="F1493" s="81" t="s">
        <v>260</v>
      </c>
      <c r="G1493" s="81" t="s">
        <v>246</v>
      </c>
      <c r="H1493" s="81">
        <v>1976</v>
      </c>
      <c r="I1493" s="81" t="s">
        <v>247</v>
      </c>
    </row>
    <row r="1494" spans="1:9" x14ac:dyDescent="0.3">
      <c r="A1494" s="87">
        <v>5.85</v>
      </c>
      <c r="B1494" s="87">
        <v>10.79</v>
      </c>
      <c r="C1494" s="81">
        <v>6120</v>
      </c>
      <c r="D1494" s="81">
        <v>1</v>
      </c>
      <c r="E1494" s="70">
        <v>3</v>
      </c>
      <c r="F1494" s="81" t="s">
        <v>260</v>
      </c>
      <c r="G1494" s="81" t="s">
        <v>246</v>
      </c>
      <c r="H1494" s="81">
        <v>1976</v>
      </c>
      <c r="I1494" s="81" t="s">
        <v>247</v>
      </c>
    </row>
    <row r="1495" spans="1:9" x14ac:dyDescent="0.3">
      <c r="A1495" s="87">
        <v>5.88</v>
      </c>
      <c r="B1495" s="87">
        <v>10.65</v>
      </c>
      <c r="C1495" s="81">
        <v>6120</v>
      </c>
      <c r="D1495" s="81">
        <v>1</v>
      </c>
      <c r="E1495" s="70">
        <v>3</v>
      </c>
      <c r="F1495" s="81" t="s">
        <v>260</v>
      </c>
      <c r="G1495" s="81" t="s">
        <v>246</v>
      </c>
      <c r="H1495" s="81">
        <v>1976</v>
      </c>
      <c r="I1495" s="81" t="s">
        <v>247</v>
      </c>
    </row>
    <row r="1496" spans="1:9" x14ac:dyDescent="0.3">
      <c r="A1496" s="87">
        <v>5.88</v>
      </c>
      <c r="B1496" s="87">
        <v>10.79</v>
      </c>
      <c r="C1496" s="81">
        <v>6120</v>
      </c>
      <c r="D1496" s="81">
        <v>1</v>
      </c>
      <c r="E1496" s="70">
        <v>3</v>
      </c>
      <c r="F1496" s="81" t="s">
        <v>260</v>
      </c>
      <c r="G1496" s="81" t="s">
        <v>246</v>
      </c>
      <c r="H1496" s="81">
        <v>1976</v>
      </c>
      <c r="I1496" s="81" t="s">
        <v>247</v>
      </c>
    </row>
    <row r="1497" spans="1:9" x14ac:dyDescent="0.3">
      <c r="A1497" s="87">
        <v>5.92</v>
      </c>
      <c r="B1497" s="87">
        <v>5.79</v>
      </c>
      <c r="C1497" s="81">
        <v>6120</v>
      </c>
      <c r="D1497" s="81">
        <v>1</v>
      </c>
      <c r="E1497" s="70">
        <v>3</v>
      </c>
      <c r="F1497" s="81" t="s">
        <v>260</v>
      </c>
      <c r="G1497" s="81" t="s">
        <v>246</v>
      </c>
      <c r="H1497" s="81">
        <v>1976</v>
      </c>
      <c r="I1497" s="81" t="s">
        <v>247</v>
      </c>
    </row>
    <row r="1498" spans="1:9" x14ac:dyDescent="0.3">
      <c r="A1498" s="87">
        <v>5.92</v>
      </c>
      <c r="B1498" s="87">
        <v>5.79</v>
      </c>
      <c r="C1498" s="81">
        <v>6120</v>
      </c>
      <c r="D1498" s="81">
        <v>1</v>
      </c>
      <c r="E1498" s="70">
        <v>3</v>
      </c>
      <c r="F1498" s="81" t="s">
        <v>260</v>
      </c>
      <c r="G1498" s="81" t="s">
        <v>246</v>
      </c>
      <c r="H1498" s="81">
        <v>1976</v>
      </c>
      <c r="I1498" s="81" t="s">
        <v>247</v>
      </c>
    </row>
    <row r="1499" spans="1:9" x14ac:dyDescent="0.3">
      <c r="A1499" s="87">
        <v>5.92</v>
      </c>
      <c r="B1499" s="87">
        <v>9.6999999999999993</v>
      </c>
      <c r="C1499" s="81">
        <v>6120</v>
      </c>
      <c r="D1499" s="81">
        <v>1</v>
      </c>
      <c r="E1499" s="70">
        <v>3</v>
      </c>
      <c r="F1499" s="81" t="s">
        <v>260</v>
      </c>
      <c r="G1499" s="81" t="s">
        <v>246</v>
      </c>
      <c r="H1499" s="81">
        <v>1976</v>
      </c>
      <c r="I1499" s="81" t="s">
        <v>247</v>
      </c>
    </row>
    <row r="1500" spans="1:9" x14ac:dyDescent="0.3">
      <c r="A1500" s="87">
        <v>5.96</v>
      </c>
      <c r="B1500" s="87">
        <v>11.68</v>
      </c>
      <c r="C1500" s="81">
        <v>6120</v>
      </c>
      <c r="D1500" s="81">
        <v>1</v>
      </c>
      <c r="E1500" s="70">
        <v>3</v>
      </c>
      <c r="F1500" s="81" t="s">
        <v>260</v>
      </c>
      <c r="G1500" s="81" t="s">
        <v>246</v>
      </c>
      <c r="H1500" s="81">
        <v>1976</v>
      </c>
      <c r="I1500" s="81" t="s">
        <v>247</v>
      </c>
    </row>
    <row r="1501" spans="1:9" x14ac:dyDescent="0.3">
      <c r="A1501" s="87">
        <v>5.96</v>
      </c>
      <c r="B1501" s="87">
        <v>11.83</v>
      </c>
      <c r="C1501" s="81">
        <v>6120</v>
      </c>
      <c r="D1501" s="81">
        <v>1</v>
      </c>
      <c r="E1501" s="70">
        <v>3</v>
      </c>
      <c r="F1501" s="81" t="s">
        <v>260</v>
      </c>
      <c r="G1501" s="81" t="s">
        <v>246</v>
      </c>
      <c r="H1501" s="81">
        <v>1976</v>
      </c>
      <c r="I1501" s="81" t="s">
        <v>247</v>
      </c>
    </row>
    <row r="1502" spans="1:9" x14ac:dyDescent="0.3">
      <c r="A1502" s="87">
        <v>5.97</v>
      </c>
      <c r="B1502" s="87">
        <v>6.91</v>
      </c>
      <c r="C1502" s="81">
        <v>6120</v>
      </c>
      <c r="D1502" s="81">
        <v>1</v>
      </c>
      <c r="E1502" s="70">
        <v>3</v>
      </c>
      <c r="F1502" s="81" t="s">
        <v>260</v>
      </c>
      <c r="G1502" s="81" t="s">
        <v>246</v>
      </c>
      <c r="H1502" s="81">
        <v>1976</v>
      </c>
      <c r="I1502" s="81" t="s">
        <v>247</v>
      </c>
    </row>
    <row r="1503" spans="1:9" x14ac:dyDescent="0.3">
      <c r="A1503" s="87">
        <v>5.97</v>
      </c>
      <c r="B1503" s="87">
        <v>6.91</v>
      </c>
      <c r="C1503" s="81">
        <v>6120</v>
      </c>
      <c r="D1503" s="81">
        <v>1</v>
      </c>
      <c r="E1503" s="70">
        <v>3</v>
      </c>
      <c r="F1503" s="81" t="s">
        <v>260</v>
      </c>
      <c r="G1503" s="81" t="s">
        <v>246</v>
      </c>
      <c r="H1503" s="81">
        <v>1976</v>
      </c>
      <c r="I1503" s="81" t="s">
        <v>247</v>
      </c>
    </row>
    <row r="1504" spans="1:9" x14ac:dyDescent="0.3">
      <c r="A1504" s="87">
        <v>5.97</v>
      </c>
      <c r="B1504" s="87">
        <v>7</v>
      </c>
      <c r="C1504" s="81">
        <v>6120</v>
      </c>
      <c r="D1504" s="81">
        <v>1</v>
      </c>
      <c r="E1504" s="70">
        <v>3</v>
      </c>
      <c r="F1504" s="81" t="s">
        <v>260</v>
      </c>
      <c r="G1504" s="81" t="s">
        <v>246</v>
      </c>
      <c r="H1504" s="81">
        <v>1976</v>
      </c>
      <c r="I1504" s="81" t="s">
        <v>247</v>
      </c>
    </row>
    <row r="1505" spans="1:9" x14ac:dyDescent="0.3">
      <c r="A1505" s="87">
        <v>5.97</v>
      </c>
      <c r="B1505" s="87">
        <v>7.72</v>
      </c>
      <c r="C1505" s="81">
        <v>6120</v>
      </c>
      <c r="D1505" s="81">
        <v>1</v>
      </c>
      <c r="E1505" s="70">
        <v>3</v>
      </c>
      <c r="F1505" s="81" t="s">
        <v>260</v>
      </c>
      <c r="G1505" s="81" t="s">
        <v>246</v>
      </c>
      <c r="H1505" s="81">
        <v>1976</v>
      </c>
      <c r="I1505" s="81" t="s">
        <v>247</v>
      </c>
    </row>
    <row r="1506" spans="1:9" x14ac:dyDescent="0.3">
      <c r="A1506" s="87">
        <v>5.98</v>
      </c>
      <c r="B1506" s="87">
        <v>5.91</v>
      </c>
      <c r="C1506" s="81">
        <v>6120</v>
      </c>
      <c r="D1506" s="81">
        <v>1</v>
      </c>
      <c r="E1506" s="70">
        <v>3</v>
      </c>
      <c r="F1506" s="81" t="s">
        <v>260</v>
      </c>
      <c r="G1506" s="81" t="s">
        <v>246</v>
      </c>
      <c r="H1506" s="81">
        <v>1976</v>
      </c>
      <c r="I1506" s="81" t="s">
        <v>247</v>
      </c>
    </row>
    <row r="1507" spans="1:9" x14ac:dyDescent="0.3">
      <c r="A1507" s="87">
        <v>6</v>
      </c>
      <c r="B1507" s="87">
        <v>6.85</v>
      </c>
      <c r="C1507" s="81">
        <v>6120</v>
      </c>
      <c r="D1507" s="81">
        <v>1</v>
      </c>
      <c r="E1507" s="70">
        <v>3</v>
      </c>
      <c r="F1507" s="81" t="s">
        <v>260</v>
      </c>
      <c r="G1507" s="81" t="s">
        <v>246</v>
      </c>
      <c r="H1507" s="81">
        <v>1976</v>
      </c>
      <c r="I1507" s="81" t="s">
        <v>247</v>
      </c>
    </row>
    <row r="1508" spans="1:9" x14ac:dyDescent="0.3">
      <c r="A1508" s="87">
        <v>6</v>
      </c>
      <c r="B1508" s="87">
        <v>6.85</v>
      </c>
      <c r="C1508" s="81">
        <v>6120</v>
      </c>
      <c r="D1508" s="81">
        <v>1</v>
      </c>
      <c r="E1508" s="70">
        <v>3</v>
      </c>
      <c r="F1508" s="81" t="s">
        <v>260</v>
      </c>
      <c r="G1508" s="81" t="s">
        <v>246</v>
      </c>
      <c r="H1508" s="81">
        <v>1976</v>
      </c>
      <c r="I1508" s="81" t="s">
        <v>247</v>
      </c>
    </row>
    <row r="1509" spans="1:9" x14ac:dyDescent="0.3">
      <c r="A1509" s="87">
        <v>6.02</v>
      </c>
      <c r="B1509" s="87">
        <v>8.75</v>
      </c>
      <c r="C1509" s="81">
        <v>6120</v>
      </c>
      <c r="D1509" s="81">
        <v>1</v>
      </c>
      <c r="E1509" s="70">
        <v>3</v>
      </c>
      <c r="F1509" s="81" t="s">
        <v>260</v>
      </c>
      <c r="G1509" s="81" t="s">
        <v>246</v>
      </c>
      <c r="H1509" s="81">
        <v>1976</v>
      </c>
      <c r="I1509" s="81" t="s">
        <v>247</v>
      </c>
    </row>
    <row r="1510" spans="1:9" x14ac:dyDescent="0.3">
      <c r="A1510" s="87">
        <v>6.7</v>
      </c>
      <c r="B1510" s="87">
        <v>13.64</v>
      </c>
      <c r="C1510" s="81">
        <v>6120</v>
      </c>
      <c r="D1510" s="81">
        <v>1</v>
      </c>
      <c r="E1510" s="70">
        <v>3</v>
      </c>
      <c r="F1510" s="81" t="s">
        <v>260</v>
      </c>
      <c r="G1510" s="81" t="s">
        <v>246</v>
      </c>
      <c r="H1510" s="81">
        <v>1976</v>
      </c>
      <c r="I1510" s="81" t="s">
        <v>247</v>
      </c>
    </row>
    <row r="1511" spans="1:9" x14ac:dyDescent="0.3">
      <c r="A1511" s="87">
        <v>6.74</v>
      </c>
      <c r="B1511" s="87">
        <v>12.66</v>
      </c>
      <c r="C1511" s="81">
        <v>6120</v>
      </c>
      <c r="D1511" s="81">
        <v>1</v>
      </c>
      <c r="E1511" s="70">
        <v>3</v>
      </c>
      <c r="F1511" s="81" t="s">
        <v>260</v>
      </c>
      <c r="G1511" s="81" t="s">
        <v>246</v>
      </c>
      <c r="H1511" s="81">
        <v>1976</v>
      </c>
      <c r="I1511" s="81" t="s">
        <v>247</v>
      </c>
    </row>
    <row r="1512" spans="1:9" x14ac:dyDescent="0.3">
      <c r="A1512" s="87">
        <v>6.79</v>
      </c>
      <c r="B1512" s="87">
        <v>10.82</v>
      </c>
      <c r="C1512" s="81">
        <v>6120</v>
      </c>
      <c r="D1512" s="81">
        <v>1</v>
      </c>
      <c r="E1512" s="70">
        <v>3</v>
      </c>
      <c r="F1512" s="81" t="s">
        <v>260</v>
      </c>
      <c r="G1512" s="81" t="s">
        <v>246</v>
      </c>
      <c r="H1512" s="81">
        <v>1976</v>
      </c>
      <c r="I1512" s="81" t="s">
        <v>247</v>
      </c>
    </row>
    <row r="1513" spans="1:9" x14ac:dyDescent="0.3">
      <c r="A1513" s="87">
        <v>6.81</v>
      </c>
      <c r="B1513" s="87">
        <v>11.71</v>
      </c>
      <c r="C1513" s="81">
        <v>6120</v>
      </c>
      <c r="D1513" s="81">
        <v>1</v>
      </c>
      <c r="E1513" s="70">
        <v>3</v>
      </c>
      <c r="F1513" s="81" t="s">
        <v>260</v>
      </c>
      <c r="G1513" s="81" t="s">
        <v>246</v>
      </c>
      <c r="H1513" s="81">
        <v>1976</v>
      </c>
      <c r="I1513" s="81" t="s">
        <v>247</v>
      </c>
    </row>
    <row r="1514" spans="1:9" x14ac:dyDescent="0.3">
      <c r="A1514" s="87">
        <v>6.81</v>
      </c>
      <c r="B1514" s="87">
        <v>11.88</v>
      </c>
      <c r="C1514" s="81">
        <v>6120</v>
      </c>
      <c r="D1514" s="81">
        <v>1</v>
      </c>
      <c r="E1514" s="70">
        <v>3</v>
      </c>
      <c r="F1514" s="81" t="s">
        <v>260</v>
      </c>
      <c r="G1514" s="81" t="s">
        <v>246</v>
      </c>
      <c r="H1514" s="81">
        <v>1976</v>
      </c>
      <c r="I1514" s="81" t="s">
        <v>247</v>
      </c>
    </row>
    <row r="1515" spans="1:9" x14ac:dyDescent="0.3">
      <c r="A1515" s="87">
        <v>6.82</v>
      </c>
      <c r="B1515" s="87">
        <v>10.7</v>
      </c>
      <c r="C1515" s="81">
        <v>6120</v>
      </c>
      <c r="D1515" s="81">
        <v>1</v>
      </c>
      <c r="E1515" s="70">
        <v>3</v>
      </c>
      <c r="F1515" s="81" t="s">
        <v>260</v>
      </c>
      <c r="G1515" s="81" t="s">
        <v>246</v>
      </c>
      <c r="H1515" s="81">
        <v>1976</v>
      </c>
      <c r="I1515" s="81" t="s">
        <v>247</v>
      </c>
    </row>
    <row r="1516" spans="1:9" x14ac:dyDescent="0.3">
      <c r="A1516" s="87">
        <v>6.83</v>
      </c>
      <c r="B1516" s="87">
        <v>6.71</v>
      </c>
      <c r="C1516" s="81">
        <v>6120</v>
      </c>
      <c r="D1516" s="81">
        <v>1</v>
      </c>
      <c r="E1516" s="70">
        <v>3</v>
      </c>
      <c r="F1516" s="81" t="s">
        <v>260</v>
      </c>
      <c r="G1516" s="81" t="s">
        <v>246</v>
      </c>
      <c r="H1516" s="81">
        <v>1976</v>
      </c>
      <c r="I1516" s="81" t="s">
        <v>247</v>
      </c>
    </row>
    <row r="1517" spans="1:9" x14ac:dyDescent="0.3">
      <c r="A1517" s="87">
        <v>6.84</v>
      </c>
      <c r="B1517" s="87">
        <v>8.89</v>
      </c>
      <c r="C1517" s="81">
        <v>6120</v>
      </c>
      <c r="D1517" s="81">
        <v>1</v>
      </c>
      <c r="E1517" s="70">
        <v>3</v>
      </c>
      <c r="F1517" s="81" t="s">
        <v>260</v>
      </c>
      <c r="G1517" s="81" t="s">
        <v>246</v>
      </c>
      <c r="H1517" s="81">
        <v>1976</v>
      </c>
      <c r="I1517" s="81" t="s">
        <v>247</v>
      </c>
    </row>
    <row r="1518" spans="1:9" x14ac:dyDescent="0.3">
      <c r="A1518" s="87">
        <v>6.85</v>
      </c>
      <c r="B1518" s="87">
        <v>7.26</v>
      </c>
      <c r="C1518" s="81">
        <v>6120</v>
      </c>
      <c r="D1518" s="81">
        <v>1</v>
      </c>
      <c r="E1518" s="70">
        <v>3</v>
      </c>
      <c r="F1518" s="81" t="s">
        <v>260</v>
      </c>
      <c r="G1518" s="81" t="s">
        <v>246</v>
      </c>
      <c r="H1518" s="81">
        <v>1976</v>
      </c>
      <c r="I1518" s="81" t="s">
        <v>247</v>
      </c>
    </row>
    <row r="1519" spans="1:9" x14ac:dyDescent="0.3">
      <c r="A1519" s="87">
        <v>6.85</v>
      </c>
      <c r="B1519" s="87">
        <v>7.75</v>
      </c>
      <c r="C1519" s="81">
        <v>6120</v>
      </c>
      <c r="D1519" s="81">
        <v>1</v>
      </c>
      <c r="E1519" s="70">
        <v>3</v>
      </c>
      <c r="F1519" s="81" t="s">
        <v>260</v>
      </c>
      <c r="G1519" s="81" t="s">
        <v>246</v>
      </c>
      <c r="H1519" s="81">
        <v>1976</v>
      </c>
      <c r="I1519" s="81" t="s">
        <v>247</v>
      </c>
    </row>
    <row r="1520" spans="1:9" x14ac:dyDescent="0.3">
      <c r="A1520" s="87">
        <v>6.86</v>
      </c>
      <c r="B1520" s="87">
        <v>6.83</v>
      </c>
      <c r="C1520" s="81">
        <v>6120</v>
      </c>
      <c r="D1520" s="81">
        <v>1</v>
      </c>
      <c r="E1520" s="70">
        <v>3</v>
      </c>
      <c r="F1520" s="81" t="s">
        <v>260</v>
      </c>
      <c r="G1520" s="81" t="s">
        <v>246</v>
      </c>
      <c r="H1520" s="81">
        <v>1976</v>
      </c>
      <c r="I1520" s="81" t="s">
        <v>247</v>
      </c>
    </row>
    <row r="1521" spans="1:11" x14ac:dyDescent="0.3">
      <c r="A1521" s="87">
        <v>6.86</v>
      </c>
      <c r="B1521" s="87">
        <v>7.06</v>
      </c>
      <c r="C1521" s="81">
        <v>6120</v>
      </c>
      <c r="D1521" s="81">
        <v>1</v>
      </c>
      <c r="E1521" s="70">
        <v>3</v>
      </c>
      <c r="F1521" s="81" t="s">
        <v>260</v>
      </c>
      <c r="G1521" s="81" t="s">
        <v>246</v>
      </c>
      <c r="H1521" s="81">
        <v>1976</v>
      </c>
      <c r="I1521" s="81" t="s">
        <v>247</v>
      </c>
    </row>
    <row r="1522" spans="1:11" x14ac:dyDescent="0.3">
      <c r="A1522" s="87">
        <v>6.86</v>
      </c>
      <c r="B1522" s="87">
        <v>9.67</v>
      </c>
      <c r="C1522" s="81">
        <v>6120</v>
      </c>
      <c r="D1522" s="81">
        <v>1</v>
      </c>
      <c r="E1522" s="70">
        <v>3</v>
      </c>
      <c r="F1522" s="81" t="s">
        <v>260</v>
      </c>
      <c r="G1522" s="81" t="s">
        <v>246</v>
      </c>
      <c r="H1522" s="81">
        <v>1976</v>
      </c>
      <c r="I1522" s="81" t="s">
        <v>247</v>
      </c>
    </row>
    <row r="1523" spans="1:11" x14ac:dyDescent="0.3">
      <c r="A1523" s="87">
        <v>6.86</v>
      </c>
      <c r="B1523" s="87">
        <v>9.67</v>
      </c>
      <c r="C1523" s="81">
        <v>6120</v>
      </c>
      <c r="D1523" s="81">
        <v>1</v>
      </c>
      <c r="E1523" s="70">
        <v>3</v>
      </c>
      <c r="F1523" s="81" t="s">
        <v>260</v>
      </c>
      <c r="G1523" s="81" t="s">
        <v>246</v>
      </c>
      <c r="H1523" s="81">
        <v>1976</v>
      </c>
      <c r="I1523" s="81" t="s">
        <v>247</v>
      </c>
    </row>
    <row r="1524" spans="1:11" x14ac:dyDescent="0.3">
      <c r="A1524" s="87">
        <v>6.86</v>
      </c>
      <c r="B1524" s="87">
        <v>9.8699999999999992</v>
      </c>
      <c r="C1524" s="81">
        <v>6120</v>
      </c>
      <c r="D1524" s="81">
        <v>1</v>
      </c>
      <c r="E1524" s="70">
        <v>3</v>
      </c>
      <c r="F1524" s="81" t="s">
        <v>260</v>
      </c>
      <c r="G1524" s="81" t="s">
        <v>246</v>
      </c>
      <c r="H1524" s="81">
        <v>1976</v>
      </c>
      <c r="I1524" s="81" t="s">
        <v>247</v>
      </c>
    </row>
    <row r="1525" spans="1:11" x14ac:dyDescent="0.3">
      <c r="A1525" s="87">
        <v>6.87</v>
      </c>
      <c r="B1525" s="87">
        <v>5.82</v>
      </c>
      <c r="C1525" s="81">
        <v>6120</v>
      </c>
      <c r="D1525" s="81">
        <v>1</v>
      </c>
      <c r="E1525" s="70">
        <v>3</v>
      </c>
      <c r="F1525" s="81" t="s">
        <v>260</v>
      </c>
      <c r="G1525" s="81" t="s">
        <v>246</v>
      </c>
      <c r="H1525" s="81">
        <v>1976</v>
      </c>
      <c r="I1525" s="81" t="s">
        <v>247</v>
      </c>
    </row>
    <row r="1526" spans="1:11" x14ac:dyDescent="0.3">
      <c r="A1526" s="87">
        <v>6.87</v>
      </c>
      <c r="B1526" s="87">
        <v>5.99</v>
      </c>
      <c r="C1526" s="81">
        <v>6120</v>
      </c>
      <c r="D1526" s="81">
        <v>1</v>
      </c>
      <c r="E1526" s="70">
        <v>3</v>
      </c>
      <c r="F1526" s="81" t="s">
        <v>260</v>
      </c>
      <c r="G1526" s="81" t="s">
        <v>246</v>
      </c>
      <c r="H1526" s="81">
        <v>1976</v>
      </c>
      <c r="I1526" s="81" t="s">
        <v>247</v>
      </c>
    </row>
    <row r="1527" spans="1:11" x14ac:dyDescent="0.3">
      <c r="A1527" s="87">
        <v>6.9</v>
      </c>
      <c r="B1527" s="87">
        <v>8.69</v>
      </c>
      <c r="C1527" s="81">
        <v>6120</v>
      </c>
      <c r="D1527" s="81">
        <v>1</v>
      </c>
      <c r="E1527" s="70">
        <v>3</v>
      </c>
      <c r="F1527" s="81" t="s">
        <v>260</v>
      </c>
      <c r="G1527" s="81" t="s">
        <v>246</v>
      </c>
      <c r="H1527" s="81">
        <v>1976</v>
      </c>
      <c r="I1527" s="81" t="s">
        <v>247</v>
      </c>
    </row>
    <row r="1528" spans="1:11" x14ac:dyDescent="0.3">
      <c r="A1528" s="87">
        <v>6.9</v>
      </c>
      <c r="B1528" s="87">
        <v>8.69</v>
      </c>
      <c r="C1528" s="81">
        <v>6120</v>
      </c>
      <c r="D1528" s="81">
        <v>1</v>
      </c>
      <c r="E1528" s="70">
        <v>3</v>
      </c>
      <c r="F1528" s="81" t="s">
        <v>260</v>
      </c>
      <c r="G1528" s="81" t="s">
        <v>246</v>
      </c>
      <c r="H1528" s="81">
        <v>1976</v>
      </c>
      <c r="I1528" s="81" t="s">
        <v>247</v>
      </c>
    </row>
    <row r="1529" spans="1:11" x14ac:dyDescent="0.3">
      <c r="A1529" s="23">
        <v>6.9</v>
      </c>
      <c r="B1529" s="23">
        <v>12.66</v>
      </c>
      <c r="C1529" s="15">
        <v>6120</v>
      </c>
      <c r="D1529" s="81">
        <v>1</v>
      </c>
      <c r="E1529" s="4">
        <v>3</v>
      </c>
      <c r="F1529" s="15" t="s">
        <v>260</v>
      </c>
      <c r="G1529" s="15" t="s">
        <v>246</v>
      </c>
      <c r="H1529" s="15">
        <v>1976</v>
      </c>
      <c r="I1529" s="15" t="s">
        <v>247</v>
      </c>
      <c r="K1529" s="85"/>
    </row>
    <row r="1530" spans="1:11" x14ac:dyDescent="0.3">
      <c r="A1530" s="23">
        <v>6.91</v>
      </c>
      <c r="B1530" s="23">
        <v>10.7</v>
      </c>
      <c r="C1530" s="81">
        <v>6120</v>
      </c>
      <c r="D1530" s="81">
        <v>1</v>
      </c>
      <c r="E1530" s="70">
        <v>3</v>
      </c>
      <c r="F1530" s="81" t="s">
        <v>260</v>
      </c>
      <c r="G1530" s="81" t="s">
        <v>246</v>
      </c>
      <c r="H1530" s="81">
        <v>1976</v>
      </c>
      <c r="I1530" s="81" t="s">
        <v>247</v>
      </c>
      <c r="K1530" s="85"/>
    </row>
    <row r="1531" spans="1:11" x14ac:dyDescent="0.3">
      <c r="A1531" s="23">
        <v>6.91</v>
      </c>
      <c r="B1531" s="23">
        <v>10.7</v>
      </c>
      <c r="C1531" s="81">
        <v>6120</v>
      </c>
      <c r="D1531" s="81">
        <v>1</v>
      </c>
      <c r="E1531" s="70">
        <v>3</v>
      </c>
      <c r="F1531" s="81" t="s">
        <v>260</v>
      </c>
      <c r="G1531" s="81" t="s">
        <v>246</v>
      </c>
      <c r="H1531" s="81">
        <v>1976</v>
      </c>
      <c r="I1531" s="81" t="s">
        <v>247</v>
      </c>
      <c r="K1531" s="85"/>
    </row>
    <row r="1532" spans="1:11" x14ac:dyDescent="0.3">
      <c r="A1532" s="23">
        <v>6.91</v>
      </c>
      <c r="B1532" s="23">
        <v>10.82</v>
      </c>
      <c r="C1532" s="81">
        <v>6120</v>
      </c>
      <c r="D1532" s="81">
        <v>1</v>
      </c>
      <c r="E1532" s="70">
        <v>3</v>
      </c>
      <c r="F1532" s="81" t="s">
        <v>260</v>
      </c>
      <c r="G1532" s="81" t="s">
        <v>246</v>
      </c>
      <c r="H1532" s="81">
        <v>1976</v>
      </c>
      <c r="I1532" s="81" t="s">
        <v>247</v>
      </c>
      <c r="K1532" s="85"/>
    </row>
    <row r="1533" spans="1:11" x14ac:dyDescent="0.3">
      <c r="A1533" s="23">
        <v>6.91</v>
      </c>
      <c r="B1533" s="23">
        <v>10.82</v>
      </c>
      <c r="C1533" s="81">
        <v>6120</v>
      </c>
      <c r="D1533" s="81">
        <v>1</v>
      </c>
      <c r="E1533" s="70">
        <v>3</v>
      </c>
      <c r="F1533" s="81" t="s">
        <v>260</v>
      </c>
      <c r="G1533" s="81" t="s">
        <v>246</v>
      </c>
      <c r="H1533" s="81">
        <v>1976</v>
      </c>
      <c r="I1533" s="81" t="s">
        <v>247</v>
      </c>
      <c r="K1533" s="85"/>
    </row>
    <row r="1534" spans="1:11" x14ac:dyDescent="0.3">
      <c r="A1534" s="23">
        <v>6.93</v>
      </c>
      <c r="B1534" s="23">
        <v>8.89</v>
      </c>
      <c r="C1534" s="81">
        <v>6120</v>
      </c>
      <c r="D1534" s="81">
        <v>1</v>
      </c>
      <c r="E1534" s="70">
        <v>3</v>
      </c>
      <c r="F1534" s="81" t="s">
        <v>260</v>
      </c>
      <c r="G1534" s="81" t="s">
        <v>246</v>
      </c>
      <c r="H1534" s="81">
        <v>1976</v>
      </c>
      <c r="I1534" s="81" t="s">
        <v>247</v>
      </c>
      <c r="K1534" s="85"/>
    </row>
    <row r="1535" spans="1:11" x14ac:dyDescent="0.3">
      <c r="A1535" s="23">
        <v>6.93</v>
      </c>
      <c r="B1535" s="23">
        <v>8.89</v>
      </c>
      <c r="C1535" s="81">
        <v>6120</v>
      </c>
      <c r="D1535" s="81">
        <v>1</v>
      </c>
      <c r="E1535" s="70">
        <v>3</v>
      </c>
      <c r="F1535" s="81" t="s">
        <v>260</v>
      </c>
      <c r="G1535" s="81" t="s">
        <v>246</v>
      </c>
      <c r="H1535" s="81">
        <v>1976</v>
      </c>
      <c r="I1535" s="81" t="s">
        <v>247</v>
      </c>
      <c r="K1535" s="85"/>
    </row>
    <row r="1536" spans="1:11" x14ac:dyDescent="0.3">
      <c r="A1536" s="23">
        <v>6.94</v>
      </c>
      <c r="B1536" s="23">
        <v>11.68</v>
      </c>
      <c r="C1536" s="81">
        <v>6120</v>
      </c>
      <c r="D1536" s="81">
        <v>1</v>
      </c>
      <c r="E1536" s="70">
        <v>3</v>
      </c>
      <c r="F1536" s="81" t="s">
        <v>260</v>
      </c>
      <c r="G1536" s="81" t="s">
        <v>246</v>
      </c>
      <c r="H1536" s="81">
        <v>1976</v>
      </c>
      <c r="I1536" s="81" t="s">
        <v>247</v>
      </c>
      <c r="K1536" s="85"/>
    </row>
    <row r="1537" spans="1:11" x14ac:dyDescent="0.3">
      <c r="A1537" s="23">
        <v>6.94</v>
      </c>
      <c r="B1537" s="23">
        <v>11.68</v>
      </c>
      <c r="C1537" s="81">
        <v>6120</v>
      </c>
      <c r="D1537" s="81">
        <v>1</v>
      </c>
      <c r="E1537" s="70">
        <v>3</v>
      </c>
      <c r="F1537" s="81" t="s">
        <v>260</v>
      </c>
      <c r="G1537" s="81" t="s">
        <v>246</v>
      </c>
      <c r="H1537" s="81">
        <v>1976</v>
      </c>
      <c r="I1537" s="81" t="s">
        <v>247</v>
      </c>
      <c r="K1537" s="85"/>
    </row>
    <row r="1538" spans="1:11" x14ac:dyDescent="0.3">
      <c r="A1538" s="23">
        <v>6.95</v>
      </c>
      <c r="B1538" s="23">
        <v>9.84</v>
      </c>
      <c r="C1538" s="81">
        <v>6120</v>
      </c>
      <c r="D1538" s="81">
        <v>1</v>
      </c>
      <c r="E1538" s="70">
        <v>3</v>
      </c>
      <c r="F1538" s="81" t="s">
        <v>260</v>
      </c>
      <c r="G1538" s="81" t="s">
        <v>246</v>
      </c>
      <c r="H1538" s="81">
        <v>1976</v>
      </c>
      <c r="I1538" s="81" t="s">
        <v>247</v>
      </c>
      <c r="K1538" s="85"/>
    </row>
    <row r="1539" spans="1:11" x14ac:dyDescent="0.3">
      <c r="A1539" s="23">
        <v>6.96</v>
      </c>
      <c r="B1539" s="23">
        <v>8.75</v>
      </c>
      <c r="C1539" s="81">
        <v>6120</v>
      </c>
      <c r="D1539" s="81">
        <v>1</v>
      </c>
      <c r="E1539" s="70">
        <v>3</v>
      </c>
      <c r="F1539" s="81" t="s">
        <v>260</v>
      </c>
      <c r="G1539" s="81" t="s">
        <v>246</v>
      </c>
      <c r="H1539" s="81">
        <v>1976</v>
      </c>
      <c r="I1539" s="81" t="s">
        <v>247</v>
      </c>
      <c r="K1539" s="85"/>
    </row>
    <row r="1540" spans="1:11" x14ac:dyDescent="0.3">
      <c r="A1540" s="23">
        <v>6.97</v>
      </c>
      <c r="B1540" s="23">
        <v>7.75</v>
      </c>
      <c r="C1540" s="81">
        <v>6120</v>
      </c>
      <c r="D1540" s="81">
        <v>1</v>
      </c>
      <c r="E1540" s="70">
        <v>3</v>
      </c>
      <c r="F1540" s="81" t="s">
        <v>260</v>
      </c>
      <c r="G1540" s="81" t="s">
        <v>246</v>
      </c>
      <c r="H1540" s="81">
        <v>1976</v>
      </c>
      <c r="I1540" s="81" t="s">
        <v>247</v>
      </c>
      <c r="K1540" s="85"/>
    </row>
    <row r="1541" spans="1:11" x14ac:dyDescent="0.3">
      <c r="A1541" s="23">
        <v>6.97</v>
      </c>
      <c r="B1541" s="23">
        <v>7.75</v>
      </c>
      <c r="C1541" s="81">
        <v>6120</v>
      </c>
      <c r="D1541" s="81">
        <v>1</v>
      </c>
      <c r="E1541" s="70">
        <v>3</v>
      </c>
      <c r="F1541" s="81" t="s">
        <v>260</v>
      </c>
      <c r="G1541" s="81" t="s">
        <v>246</v>
      </c>
      <c r="H1541" s="81">
        <v>1976</v>
      </c>
      <c r="I1541" s="81" t="s">
        <v>247</v>
      </c>
      <c r="K1541" s="85"/>
    </row>
    <row r="1542" spans="1:11" x14ac:dyDescent="0.3">
      <c r="A1542" s="23">
        <v>6.98</v>
      </c>
      <c r="B1542" s="23">
        <v>6.71</v>
      </c>
      <c r="C1542" s="81">
        <v>6120</v>
      </c>
      <c r="D1542" s="81">
        <v>1</v>
      </c>
      <c r="E1542" s="70">
        <v>3</v>
      </c>
      <c r="F1542" s="81" t="s">
        <v>260</v>
      </c>
      <c r="G1542" s="81" t="s">
        <v>246</v>
      </c>
      <c r="H1542" s="81">
        <v>1976</v>
      </c>
      <c r="I1542" s="81" t="s">
        <v>247</v>
      </c>
      <c r="K1542" s="85"/>
    </row>
    <row r="1543" spans="1:11" x14ac:dyDescent="0.3">
      <c r="A1543" s="23">
        <v>6.98</v>
      </c>
      <c r="B1543" s="23">
        <v>6.83</v>
      </c>
      <c r="C1543" s="81">
        <v>6120</v>
      </c>
      <c r="D1543" s="81">
        <v>1</v>
      </c>
      <c r="E1543" s="70">
        <v>3</v>
      </c>
      <c r="F1543" s="81" t="s">
        <v>260</v>
      </c>
      <c r="G1543" s="81" t="s">
        <v>246</v>
      </c>
      <c r="H1543" s="81">
        <v>1976</v>
      </c>
      <c r="I1543" s="81" t="s">
        <v>247</v>
      </c>
      <c r="K1543" s="85"/>
    </row>
    <row r="1544" spans="1:11" x14ac:dyDescent="0.3">
      <c r="A1544" s="23">
        <v>6.98</v>
      </c>
      <c r="B1544" s="23">
        <v>9.67</v>
      </c>
      <c r="C1544" s="81">
        <v>6120</v>
      </c>
      <c r="D1544" s="81">
        <v>1</v>
      </c>
      <c r="E1544" s="70">
        <v>3</v>
      </c>
      <c r="F1544" s="81" t="s">
        <v>260</v>
      </c>
      <c r="G1544" s="81" t="s">
        <v>246</v>
      </c>
      <c r="H1544" s="81">
        <v>1976</v>
      </c>
      <c r="I1544" s="81" t="s">
        <v>247</v>
      </c>
      <c r="K1544" s="85"/>
    </row>
    <row r="1545" spans="1:11" x14ac:dyDescent="0.3">
      <c r="A1545" s="23">
        <v>7.01</v>
      </c>
      <c r="B1545" s="23">
        <v>7.06</v>
      </c>
      <c r="C1545" s="81">
        <v>6120</v>
      </c>
      <c r="D1545" s="81">
        <v>1</v>
      </c>
      <c r="E1545" s="70">
        <v>3</v>
      </c>
      <c r="F1545" s="81" t="s">
        <v>260</v>
      </c>
      <c r="G1545" s="81" t="s">
        <v>246</v>
      </c>
      <c r="H1545" s="81">
        <v>1976</v>
      </c>
      <c r="I1545" s="81" t="s">
        <v>247</v>
      </c>
      <c r="K1545" s="85"/>
    </row>
    <row r="1546" spans="1:11" x14ac:dyDescent="0.3">
      <c r="A1546" s="23">
        <v>7.01</v>
      </c>
      <c r="B1546" s="23">
        <v>7.26</v>
      </c>
      <c r="C1546" s="81">
        <v>6120</v>
      </c>
      <c r="D1546" s="81">
        <v>1</v>
      </c>
      <c r="E1546" s="70">
        <v>3</v>
      </c>
      <c r="F1546" s="81" t="s">
        <v>260</v>
      </c>
      <c r="G1546" s="81" t="s">
        <v>246</v>
      </c>
      <c r="H1546" s="81">
        <v>1976</v>
      </c>
      <c r="I1546" s="81" t="s">
        <v>247</v>
      </c>
      <c r="K1546" s="85"/>
    </row>
    <row r="1547" spans="1:11" x14ac:dyDescent="0.3">
      <c r="A1547" s="23">
        <v>7.02</v>
      </c>
      <c r="B1547" s="23">
        <v>5.82</v>
      </c>
      <c r="C1547" s="81">
        <v>6120</v>
      </c>
      <c r="D1547" s="81">
        <v>1</v>
      </c>
      <c r="E1547" s="70">
        <v>3</v>
      </c>
      <c r="F1547" s="81" t="s">
        <v>260</v>
      </c>
      <c r="G1547" s="81" t="s">
        <v>246</v>
      </c>
      <c r="H1547" s="81">
        <v>1976</v>
      </c>
      <c r="I1547" s="81" t="s">
        <v>247</v>
      </c>
      <c r="K1547" s="85"/>
    </row>
    <row r="1548" spans="1:11" x14ac:dyDescent="0.3">
      <c r="A1548" s="23">
        <v>7.1</v>
      </c>
      <c r="B1548" s="23">
        <v>6.71</v>
      </c>
      <c r="C1548" s="81">
        <v>6120</v>
      </c>
      <c r="D1548" s="81">
        <v>1</v>
      </c>
      <c r="E1548" s="70">
        <v>3</v>
      </c>
      <c r="F1548" s="81" t="s">
        <v>260</v>
      </c>
      <c r="G1548" s="81" t="s">
        <v>246</v>
      </c>
      <c r="H1548" s="81">
        <v>1976</v>
      </c>
      <c r="I1548" s="81" t="s">
        <v>247</v>
      </c>
      <c r="K1548" s="85"/>
    </row>
    <row r="1549" spans="1:11" x14ac:dyDescent="0.3">
      <c r="A1549" s="23">
        <v>7.1</v>
      </c>
      <c r="B1549" s="23">
        <v>6.71</v>
      </c>
      <c r="C1549" s="81">
        <v>6120</v>
      </c>
      <c r="D1549" s="81">
        <v>1</v>
      </c>
      <c r="E1549" s="70">
        <v>3</v>
      </c>
      <c r="F1549" s="81" t="s">
        <v>260</v>
      </c>
      <c r="G1549" s="81" t="s">
        <v>246</v>
      </c>
      <c r="H1549" s="81">
        <v>1976</v>
      </c>
      <c r="I1549" s="81" t="s">
        <v>247</v>
      </c>
      <c r="K1549" s="85"/>
    </row>
    <row r="1550" spans="1:11" x14ac:dyDescent="0.3">
      <c r="A1550" s="23">
        <v>7.16</v>
      </c>
      <c r="B1550" s="23">
        <v>6.85</v>
      </c>
      <c r="C1550" s="81">
        <v>6120</v>
      </c>
      <c r="D1550" s="81">
        <v>1</v>
      </c>
      <c r="E1550" s="70">
        <v>3</v>
      </c>
      <c r="F1550" s="81" t="s">
        <v>260</v>
      </c>
      <c r="G1550" s="81" t="s">
        <v>246</v>
      </c>
      <c r="H1550" s="81">
        <v>1976</v>
      </c>
      <c r="I1550" s="81" t="s">
        <v>247</v>
      </c>
      <c r="K1550" s="85"/>
    </row>
    <row r="1551" spans="1:11" x14ac:dyDescent="0.3">
      <c r="A1551" s="23">
        <v>7.16</v>
      </c>
      <c r="B1551" s="23">
        <v>7.06</v>
      </c>
      <c r="C1551" s="81">
        <v>6120</v>
      </c>
      <c r="D1551" s="81">
        <v>1</v>
      </c>
      <c r="E1551" s="70">
        <v>3</v>
      </c>
      <c r="F1551" s="81" t="s">
        <v>260</v>
      </c>
      <c r="G1551" s="81" t="s">
        <v>246</v>
      </c>
      <c r="H1551" s="81">
        <v>1976</v>
      </c>
      <c r="I1551" s="81" t="s">
        <v>247</v>
      </c>
      <c r="K1551" s="85"/>
    </row>
    <row r="1552" spans="1:11" x14ac:dyDescent="0.3">
      <c r="A1552" s="23">
        <v>7.8</v>
      </c>
      <c r="B1552" s="23">
        <v>10.79</v>
      </c>
      <c r="C1552" s="81">
        <v>6120</v>
      </c>
      <c r="D1552" s="81">
        <v>1</v>
      </c>
      <c r="E1552" s="70">
        <v>3</v>
      </c>
      <c r="F1552" s="81" t="s">
        <v>260</v>
      </c>
      <c r="G1552" s="81" t="s">
        <v>246</v>
      </c>
      <c r="H1552" s="81">
        <v>1976</v>
      </c>
      <c r="I1552" s="81" t="s">
        <v>247</v>
      </c>
      <c r="K1552" s="85"/>
    </row>
    <row r="1553" spans="1:11" x14ac:dyDescent="0.3">
      <c r="A1553" s="23">
        <v>7.84</v>
      </c>
      <c r="B1553" s="23">
        <v>8.92</v>
      </c>
      <c r="C1553" s="81">
        <v>6120</v>
      </c>
      <c r="D1553" s="81">
        <v>1</v>
      </c>
      <c r="E1553" s="70">
        <v>3</v>
      </c>
      <c r="F1553" s="81" t="s">
        <v>260</v>
      </c>
      <c r="G1553" s="81" t="s">
        <v>246</v>
      </c>
      <c r="H1553" s="81">
        <v>1976</v>
      </c>
      <c r="I1553" s="81" t="s">
        <v>247</v>
      </c>
      <c r="K1553" s="85"/>
    </row>
    <row r="1554" spans="1:11" x14ac:dyDescent="0.3">
      <c r="A1554" s="23">
        <v>7.84</v>
      </c>
      <c r="B1554" s="23">
        <v>8.92</v>
      </c>
      <c r="C1554" s="81">
        <v>6120</v>
      </c>
      <c r="D1554" s="81">
        <v>1</v>
      </c>
      <c r="E1554" s="70">
        <v>3</v>
      </c>
      <c r="F1554" s="81" t="s">
        <v>260</v>
      </c>
      <c r="G1554" s="81" t="s">
        <v>246</v>
      </c>
      <c r="H1554" s="81">
        <v>1976</v>
      </c>
      <c r="I1554" s="81" t="s">
        <v>247</v>
      </c>
      <c r="K1554" s="85"/>
    </row>
    <row r="1555" spans="1:11" x14ac:dyDescent="0.3">
      <c r="A1555" s="23">
        <v>7.84</v>
      </c>
      <c r="B1555" s="23">
        <v>9.01</v>
      </c>
      <c r="C1555" s="81">
        <v>6120</v>
      </c>
      <c r="D1555" s="81">
        <v>1</v>
      </c>
      <c r="E1555" s="70">
        <v>3</v>
      </c>
      <c r="F1555" s="81" t="s">
        <v>260</v>
      </c>
      <c r="G1555" s="81" t="s">
        <v>246</v>
      </c>
      <c r="H1555" s="81">
        <v>1976</v>
      </c>
      <c r="I1555" s="81" t="s">
        <v>247</v>
      </c>
      <c r="K1555" s="85"/>
    </row>
    <row r="1556" spans="1:11" x14ac:dyDescent="0.3">
      <c r="A1556" s="23">
        <v>7.84</v>
      </c>
      <c r="B1556" s="23">
        <v>12.6</v>
      </c>
      <c r="C1556" s="81">
        <v>6120</v>
      </c>
      <c r="D1556" s="81">
        <v>1</v>
      </c>
      <c r="E1556" s="70">
        <v>3</v>
      </c>
      <c r="F1556" s="81" t="s">
        <v>260</v>
      </c>
      <c r="G1556" s="81" t="s">
        <v>246</v>
      </c>
      <c r="H1556" s="81">
        <v>1976</v>
      </c>
      <c r="I1556" s="81" t="s">
        <v>247</v>
      </c>
      <c r="K1556" s="85"/>
    </row>
    <row r="1557" spans="1:11" x14ac:dyDescent="0.3">
      <c r="A1557" s="23">
        <v>7.85</v>
      </c>
      <c r="B1557" s="23">
        <v>8.81</v>
      </c>
      <c r="C1557" s="81">
        <v>6120</v>
      </c>
      <c r="D1557" s="81">
        <v>1</v>
      </c>
      <c r="E1557" s="70">
        <v>3</v>
      </c>
      <c r="F1557" s="81" t="s">
        <v>260</v>
      </c>
      <c r="G1557" s="81" t="s">
        <v>246</v>
      </c>
      <c r="H1557" s="81">
        <v>1976</v>
      </c>
      <c r="I1557" s="81" t="s">
        <v>247</v>
      </c>
      <c r="K1557" s="85"/>
    </row>
    <row r="1558" spans="1:11" x14ac:dyDescent="0.3">
      <c r="A1558" s="23">
        <v>7.85</v>
      </c>
      <c r="B1558" s="23">
        <v>11.65</v>
      </c>
      <c r="C1558" s="81">
        <v>6120</v>
      </c>
      <c r="D1558" s="81">
        <v>1</v>
      </c>
      <c r="E1558" s="70">
        <v>3</v>
      </c>
      <c r="F1558" s="81" t="s">
        <v>260</v>
      </c>
      <c r="G1558" s="81" t="s">
        <v>246</v>
      </c>
      <c r="H1558" s="81">
        <v>1976</v>
      </c>
      <c r="I1558" s="81" t="s">
        <v>247</v>
      </c>
      <c r="K1558" s="85"/>
    </row>
    <row r="1559" spans="1:11" x14ac:dyDescent="0.3">
      <c r="A1559" s="23">
        <v>7.86</v>
      </c>
      <c r="B1559" s="23">
        <v>10.65</v>
      </c>
      <c r="C1559" s="81">
        <v>6120</v>
      </c>
      <c r="D1559" s="81">
        <v>1</v>
      </c>
      <c r="E1559" s="70">
        <v>3</v>
      </c>
      <c r="F1559" s="81" t="s">
        <v>260</v>
      </c>
      <c r="G1559" s="81" t="s">
        <v>246</v>
      </c>
      <c r="H1559" s="81">
        <v>1976</v>
      </c>
      <c r="I1559" s="81" t="s">
        <v>247</v>
      </c>
      <c r="K1559" s="85"/>
    </row>
    <row r="1560" spans="1:11" x14ac:dyDescent="0.3">
      <c r="A1560" s="23">
        <v>7.87</v>
      </c>
      <c r="B1560" s="23">
        <v>9.76</v>
      </c>
      <c r="C1560" s="81">
        <v>6120</v>
      </c>
      <c r="D1560" s="81">
        <v>1</v>
      </c>
      <c r="E1560" s="70">
        <v>3</v>
      </c>
      <c r="F1560" s="81" t="s">
        <v>260</v>
      </c>
      <c r="G1560" s="81" t="s">
        <v>246</v>
      </c>
      <c r="H1560" s="81">
        <v>1976</v>
      </c>
      <c r="I1560" s="81" t="s">
        <v>247</v>
      </c>
      <c r="K1560" s="85"/>
    </row>
    <row r="1561" spans="1:11" x14ac:dyDescent="0.3">
      <c r="A1561" s="23">
        <v>7.88</v>
      </c>
      <c r="B1561" s="23">
        <v>7.92</v>
      </c>
      <c r="C1561" s="81">
        <v>6120</v>
      </c>
      <c r="D1561" s="81">
        <v>1</v>
      </c>
      <c r="E1561" s="70">
        <v>3</v>
      </c>
      <c r="F1561" s="81" t="s">
        <v>260</v>
      </c>
      <c r="G1561" s="81" t="s">
        <v>246</v>
      </c>
      <c r="H1561" s="81">
        <v>1976</v>
      </c>
      <c r="I1561" s="81" t="s">
        <v>247</v>
      </c>
      <c r="K1561" s="85"/>
    </row>
    <row r="1562" spans="1:11" x14ac:dyDescent="0.3">
      <c r="A1562" s="23">
        <v>7.88</v>
      </c>
      <c r="B1562" s="23">
        <v>7.92</v>
      </c>
      <c r="C1562" s="81">
        <v>6120</v>
      </c>
      <c r="D1562" s="81">
        <v>1</v>
      </c>
      <c r="E1562" s="70">
        <v>3</v>
      </c>
      <c r="F1562" s="81" t="s">
        <v>260</v>
      </c>
      <c r="G1562" s="81" t="s">
        <v>246</v>
      </c>
      <c r="H1562" s="81">
        <v>1976</v>
      </c>
      <c r="I1562" s="81" t="s">
        <v>247</v>
      </c>
      <c r="K1562" s="85"/>
    </row>
    <row r="1563" spans="1:11" x14ac:dyDescent="0.3">
      <c r="A1563" s="23">
        <v>7.88</v>
      </c>
      <c r="B1563" s="23">
        <v>8</v>
      </c>
      <c r="C1563" s="81">
        <v>6120</v>
      </c>
      <c r="D1563" s="81">
        <v>1</v>
      </c>
      <c r="E1563" s="70">
        <v>3</v>
      </c>
      <c r="F1563" s="81" t="s">
        <v>260</v>
      </c>
      <c r="G1563" s="81" t="s">
        <v>246</v>
      </c>
      <c r="H1563" s="81">
        <v>1976</v>
      </c>
      <c r="I1563" s="81" t="s">
        <v>247</v>
      </c>
      <c r="K1563" s="85"/>
    </row>
    <row r="1564" spans="1:11" x14ac:dyDescent="0.3">
      <c r="A1564" s="23">
        <v>7.88</v>
      </c>
      <c r="B1564" s="23">
        <v>11.74</v>
      </c>
      <c r="C1564" s="15">
        <v>6120</v>
      </c>
      <c r="D1564" s="81">
        <v>1</v>
      </c>
      <c r="E1564" s="4">
        <v>3</v>
      </c>
      <c r="F1564" s="81" t="s">
        <v>260</v>
      </c>
      <c r="G1564" s="81" t="s">
        <v>246</v>
      </c>
      <c r="H1564" s="81">
        <v>1976</v>
      </c>
      <c r="I1564" s="81" t="s">
        <v>247</v>
      </c>
      <c r="K1564" s="85"/>
    </row>
    <row r="1565" spans="1:11" x14ac:dyDescent="0.3">
      <c r="A1565" s="23">
        <v>7.89</v>
      </c>
      <c r="B1565" s="23">
        <v>7.83</v>
      </c>
      <c r="C1565" s="81">
        <v>6120</v>
      </c>
      <c r="D1565" s="81">
        <v>1</v>
      </c>
      <c r="E1565" s="70">
        <v>3</v>
      </c>
      <c r="F1565" s="81" t="s">
        <v>260</v>
      </c>
      <c r="G1565" s="81" t="s">
        <v>246</v>
      </c>
      <c r="H1565" s="81">
        <v>1976</v>
      </c>
      <c r="I1565" s="81" t="s">
        <v>247</v>
      </c>
      <c r="K1565" s="85"/>
    </row>
    <row r="1566" spans="1:11" x14ac:dyDescent="0.3">
      <c r="A1566" s="23">
        <v>7.91</v>
      </c>
      <c r="B1566" s="23">
        <v>11.65</v>
      </c>
      <c r="C1566" s="81">
        <v>6120</v>
      </c>
      <c r="D1566" s="81">
        <v>1</v>
      </c>
      <c r="E1566" s="70">
        <v>3</v>
      </c>
      <c r="F1566" s="81" t="s">
        <v>260</v>
      </c>
      <c r="G1566" s="81" t="s">
        <v>246</v>
      </c>
      <c r="H1566" s="81">
        <v>1976</v>
      </c>
      <c r="I1566" s="81" t="s">
        <v>247</v>
      </c>
      <c r="K1566" s="85"/>
    </row>
    <row r="1567" spans="1:11" x14ac:dyDescent="0.3">
      <c r="A1567" s="23">
        <v>7.91</v>
      </c>
      <c r="B1567" s="23">
        <v>11.74</v>
      </c>
      <c r="C1567" s="81">
        <v>6120</v>
      </c>
      <c r="D1567" s="81">
        <v>1</v>
      </c>
      <c r="E1567" s="70">
        <v>3</v>
      </c>
      <c r="F1567" s="81" t="s">
        <v>260</v>
      </c>
      <c r="G1567" s="81" t="s">
        <v>246</v>
      </c>
      <c r="H1567" s="81">
        <v>1976</v>
      </c>
      <c r="I1567" s="81" t="s">
        <v>247</v>
      </c>
      <c r="K1567" s="85"/>
    </row>
    <row r="1568" spans="1:11" x14ac:dyDescent="0.3">
      <c r="A1568" s="23">
        <v>7.94</v>
      </c>
      <c r="B1568" s="23">
        <v>8.7799999999999994</v>
      </c>
      <c r="C1568" s="81">
        <v>6120</v>
      </c>
      <c r="D1568" s="81">
        <v>1</v>
      </c>
      <c r="E1568" s="70">
        <v>3</v>
      </c>
      <c r="F1568" s="81" t="s">
        <v>260</v>
      </c>
      <c r="G1568" s="81" t="s">
        <v>246</v>
      </c>
      <c r="H1568" s="81">
        <v>1976</v>
      </c>
      <c r="I1568" s="81" t="s">
        <v>247</v>
      </c>
      <c r="K1568" s="85"/>
    </row>
    <row r="1569" spans="1:11" x14ac:dyDescent="0.3">
      <c r="A1569" s="23">
        <v>7.97</v>
      </c>
      <c r="B1569" s="23">
        <v>8.8699999999999992</v>
      </c>
      <c r="C1569" s="81">
        <v>6120</v>
      </c>
      <c r="D1569" s="81">
        <v>1</v>
      </c>
      <c r="E1569" s="70">
        <v>3</v>
      </c>
      <c r="F1569" s="81" t="s">
        <v>260</v>
      </c>
      <c r="G1569" s="81" t="s">
        <v>246</v>
      </c>
      <c r="H1569" s="81">
        <v>1976</v>
      </c>
      <c r="I1569" s="81" t="s">
        <v>247</v>
      </c>
      <c r="K1569" s="85"/>
    </row>
    <row r="1570" spans="1:11" x14ac:dyDescent="0.3">
      <c r="A1570" s="23">
        <v>8</v>
      </c>
      <c r="B1570" s="23">
        <v>8.98</v>
      </c>
      <c r="C1570" s="81">
        <v>6120</v>
      </c>
      <c r="D1570" s="81">
        <v>1</v>
      </c>
      <c r="E1570" s="70">
        <v>3</v>
      </c>
      <c r="F1570" s="81" t="s">
        <v>260</v>
      </c>
      <c r="G1570" s="81" t="s">
        <v>246</v>
      </c>
      <c r="H1570" s="81">
        <v>1976</v>
      </c>
      <c r="I1570" s="81" t="s">
        <v>247</v>
      </c>
      <c r="K1570" s="85"/>
    </row>
    <row r="1571" spans="1:11" x14ac:dyDescent="0.3">
      <c r="A1571" s="23">
        <v>8.01</v>
      </c>
      <c r="B1571" s="23">
        <v>7.83</v>
      </c>
      <c r="C1571" s="81">
        <v>6120</v>
      </c>
      <c r="D1571" s="81">
        <v>1</v>
      </c>
      <c r="E1571" s="70">
        <v>3</v>
      </c>
      <c r="F1571" s="81" t="s">
        <v>260</v>
      </c>
      <c r="G1571" s="81" t="s">
        <v>246</v>
      </c>
      <c r="H1571" s="81">
        <v>1976</v>
      </c>
      <c r="I1571" s="81" t="s">
        <v>247</v>
      </c>
      <c r="K1571" s="85"/>
    </row>
    <row r="1572" spans="1:11" x14ac:dyDescent="0.3">
      <c r="A1572" s="23">
        <v>8.01</v>
      </c>
      <c r="B1572" s="23">
        <v>7.89</v>
      </c>
      <c r="C1572" s="81">
        <v>6120</v>
      </c>
      <c r="D1572" s="81">
        <v>1</v>
      </c>
      <c r="E1572" s="70">
        <v>3</v>
      </c>
      <c r="F1572" s="81" t="s">
        <v>260</v>
      </c>
      <c r="G1572" s="81" t="s">
        <v>246</v>
      </c>
      <c r="H1572" s="81">
        <v>1976</v>
      </c>
      <c r="I1572" s="81" t="s">
        <v>247</v>
      </c>
      <c r="K1572" s="85"/>
    </row>
    <row r="1573" spans="1:11" x14ac:dyDescent="0.3">
      <c r="A1573" s="23">
        <v>8.01</v>
      </c>
      <c r="B1573" s="23">
        <v>7.89</v>
      </c>
      <c r="C1573" s="81">
        <v>6120</v>
      </c>
      <c r="D1573" s="81">
        <v>1</v>
      </c>
      <c r="E1573" s="70">
        <v>3</v>
      </c>
      <c r="F1573" s="81" t="s">
        <v>260</v>
      </c>
      <c r="G1573" s="81" t="s">
        <v>246</v>
      </c>
      <c r="H1573" s="81">
        <v>1976</v>
      </c>
      <c r="I1573" s="81" t="s">
        <v>247</v>
      </c>
      <c r="K1573" s="85"/>
    </row>
    <row r="1574" spans="1:11" x14ac:dyDescent="0.3">
      <c r="A1574" s="23">
        <v>8.01</v>
      </c>
      <c r="B1574" s="23">
        <v>8</v>
      </c>
      <c r="C1574" s="81">
        <v>6120</v>
      </c>
      <c r="D1574" s="81">
        <v>1</v>
      </c>
      <c r="E1574" s="70">
        <v>3</v>
      </c>
      <c r="F1574" s="81" t="s">
        <v>260</v>
      </c>
      <c r="G1574" s="81" t="s">
        <v>246</v>
      </c>
      <c r="H1574" s="81">
        <v>1976</v>
      </c>
      <c r="I1574" s="81" t="s">
        <v>247</v>
      </c>
      <c r="K1574" s="85"/>
    </row>
    <row r="1575" spans="1:11" x14ac:dyDescent="0.3">
      <c r="A1575" s="23">
        <v>8.01</v>
      </c>
      <c r="B1575" s="23">
        <v>10.7</v>
      </c>
      <c r="C1575" s="81">
        <v>6120</v>
      </c>
      <c r="D1575" s="81">
        <v>1</v>
      </c>
      <c r="E1575" s="70">
        <v>3</v>
      </c>
      <c r="F1575" s="81" t="s">
        <v>260</v>
      </c>
      <c r="G1575" s="81" t="s">
        <v>246</v>
      </c>
      <c r="H1575" s="81">
        <v>1976</v>
      </c>
      <c r="I1575" s="81" t="s">
        <v>247</v>
      </c>
      <c r="K1575" s="85"/>
    </row>
    <row r="1576" spans="1:11" x14ac:dyDescent="0.3">
      <c r="A1576" s="23">
        <v>8.09</v>
      </c>
      <c r="B1576" s="23">
        <v>8.7799999999999994</v>
      </c>
      <c r="C1576" s="81">
        <v>6120</v>
      </c>
      <c r="D1576" s="81">
        <v>1</v>
      </c>
      <c r="E1576" s="70">
        <v>3</v>
      </c>
      <c r="F1576" s="81" t="s">
        <v>260</v>
      </c>
      <c r="G1576" s="81" t="s">
        <v>246</v>
      </c>
      <c r="H1576" s="81">
        <v>1976</v>
      </c>
      <c r="I1576" s="81" t="s">
        <v>247</v>
      </c>
      <c r="K1576" s="85"/>
    </row>
    <row r="1577" spans="1:11" x14ac:dyDescent="0.3">
      <c r="A1577" s="23">
        <v>8.09</v>
      </c>
      <c r="B1577" s="23">
        <v>8.9499999999999993</v>
      </c>
      <c r="C1577" s="81">
        <v>6120</v>
      </c>
      <c r="D1577" s="81">
        <v>1</v>
      </c>
      <c r="E1577" s="70">
        <v>3</v>
      </c>
      <c r="F1577" s="81" t="s">
        <v>260</v>
      </c>
      <c r="G1577" s="81" t="s">
        <v>246</v>
      </c>
      <c r="H1577" s="81">
        <v>1976</v>
      </c>
      <c r="I1577" s="81" t="s">
        <v>247</v>
      </c>
      <c r="K1577" s="85"/>
    </row>
    <row r="1578" spans="1:11" x14ac:dyDescent="0.3">
      <c r="A1578" s="23">
        <v>8.1300000000000008</v>
      </c>
      <c r="B1578" s="23">
        <v>8</v>
      </c>
      <c r="C1578" s="81">
        <v>6120</v>
      </c>
      <c r="D1578" s="81">
        <v>1</v>
      </c>
      <c r="E1578" s="70">
        <v>3</v>
      </c>
      <c r="F1578" s="81" t="s">
        <v>260</v>
      </c>
      <c r="G1578" s="81" t="s">
        <v>246</v>
      </c>
      <c r="H1578" s="81">
        <v>1976</v>
      </c>
      <c r="I1578" s="81" t="s">
        <v>247</v>
      </c>
      <c r="K1578" s="85"/>
    </row>
    <row r="1579" spans="1:11" x14ac:dyDescent="0.3">
      <c r="A1579" s="23">
        <v>8.16</v>
      </c>
      <c r="B1579" s="23">
        <v>7.8</v>
      </c>
      <c r="C1579" s="81">
        <v>6120</v>
      </c>
      <c r="D1579" s="81">
        <v>1</v>
      </c>
      <c r="E1579" s="70">
        <v>3</v>
      </c>
      <c r="F1579" s="81" t="s">
        <v>260</v>
      </c>
      <c r="G1579" s="81" t="s">
        <v>246</v>
      </c>
      <c r="H1579" s="81">
        <v>1976</v>
      </c>
      <c r="I1579" s="81" t="s">
        <v>247</v>
      </c>
      <c r="K1579" s="85"/>
    </row>
    <row r="1580" spans="1:11" x14ac:dyDescent="0.3">
      <c r="A1580" s="23">
        <v>8.16</v>
      </c>
      <c r="B1580" s="23">
        <v>7.95</v>
      </c>
      <c r="C1580" s="81">
        <v>6120</v>
      </c>
      <c r="D1580" s="81">
        <v>1</v>
      </c>
      <c r="E1580" s="70">
        <v>3</v>
      </c>
      <c r="F1580" s="81" t="s">
        <v>260</v>
      </c>
      <c r="G1580" s="81" t="s">
        <v>246</v>
      </c>
      <c r="H1580" s="81">
        <v>1976</v>
      </c>
      <c r="I1580" s="81" t="s">
        <v>247</v>
      </c>
      <c r="K1580" s="85"/>
    </row>
    <row r="1581" spans="1:11" x14ac:dyDescent="0.3">
      <c r="A1581" s="23">
        <v>8.16</v>
      </c>
      <c r="B1581" s="23">
        <v>7.95</v>
      </c>
      <c r="C1581" s="81">
        <v>6120</v>
      </c>
      <c r="D1581" s="81">
        <v>1</v>
      </c>
      <c r="E1581" s="70">
        <v>3</v>
      </c>
      <c r="F1581" s="81" t="s">
        <v>260</v>
      </c>
      <c r="G1581" s="81" t="s">
        <v>246</v>
      </c>
      <c r="H1581" s="81">
        <v>1976</v>
      </c>
      <c r="I1581" s="81" t="s">
        <v>247</v>
      </c>
      <c r="K1581" s="85"/>
    </row>
    <row r="1582" spans="1:11" x14ac:dyDescent="0.3">
      <c r="A1582" s="23">
        <v>8.8000000000000007</v>
      </c>
      <c r="B1582" s="23">
        <v>10.65</v>
      </c>
      <c r="C1582" s="81">
        <v>6120</v>
      </c>
      <c r="D1582" s="81">
        <v>1</v>
      </c>
      <c r="E1582" s="70">
        <v>3</v>
      </c>
      <c r="F1582" s="81" t="s">
        <v>260</v>
      </c>
      <c r="G1582" s="81" t="s">
        <v>246</v>
      </c>
      <c r="H1582" s="81">
        <v>1976</v>
      </c>
      <c r="I1582" s="81" t="s">
        <v>247</v>
      </c>
      <c r="K1582" s="85"/>
    </row>
    <row r="1583" spans="1:11" x14ac:dyDescent="0.3">
      <c r="A1583" s="23">
        <v>8.81</v>
      </c>
      <c r="B1583" s="23">
        <v>9.81</v>
      </c>
      <c r="C1583" s="81">
        <v>6120</v>
      </c>
      <c r="D1583" s="81">
        <v>1</v>
      </c>
      <c r="E1583" s="70">
        <v>3</v>
      </c>
      <c r="F1583" s="81" t="s">
        <v>260</v>
      </c>
      <c r="G1583" s="81" t="s">
        <v>246</v>
      </c>
      <c r="H1583" s="81">
        <v>1976</v>
      </c>
      <c r="I1583" s="81" t="s">
        <v>247</v>
      </c>
      <c r="K1583" s="85"/>
    </row>
    <row r="1584" spans="1:11" x14ac:dyDescent="0.3">
      <c r="A1584" s="23">
        <v>8.81</v>
      </c>
      <c r="B1584" s="23">
        <v>12.89</v>
      </c>
      <c r="C1584" s="81">
        <v>6120</v>
      </c>
      <c r="D1584" s="81">
        <v>1</v>
      </c>
      <c r="E1584" s="70">
        <v>3</v>
      </c>
      <c r="F1584" s="81" t="s">
        <v>260</v>
      </c>
      <c r="G1584" s="81" t="s">
        <v>246</v>
      </c>
      <c r="H1584" s="81">
        <v>1976</v>
      </c>
      <c r="I1584" s="81" t="s">
        <v>247</v>
      </c>
      <c r="K1584" s="85"/>
    </row>
    <row r="1585" spans="1:11" x14ac:dyDescent="0.3">
      <c r="A1585" s="23">
        <v>8.81</v>
      </c>
      <c r="B1585" s="23">
        <v>13.43</v>
      </c>
      <c r="C1585" s="81">
        <v>6120</v>
      </c>
      <c r="D1585" s="81">
        <v>1</v>
      </c>
      <c r="E1585" s="70">
        <v>3</v>
      </c>
      <c r="F1585" s="81" t="s">
        <v>260</v>
      </c>
      <c r="G1585" s="81" t="s">
        <v>246</v>
      </c>
      <c r="H1585" s="81">
        <v>1976</v>
      </c>
      <c r="I1585" s="81" t="s">
        <v>247</v>
      </c>
      <c r="K1585" s="85"/>
    </row>
    <row r="1586" spans="1:11" x14ac:dyDescent="0.3">
      <c r="A1586" s="23">
        <v>8.82</v>
      </c>
      <c r="B1586" s="23">
        <v>12.69</v>
      </c>
      <c r="C1586" s="81">
        <v>6120</v>
      </c>
      <c r="D1586" s="81">
        <v>1</v>
      </c>
      <c r="E1586" s="70">
        <v>3</v>
      </c>
      <c r="F1586" s="81" t="s">
        <v>260</v>
      </c>
      <c r="G1586" s="81" t="s">
        <v>246</v>
      </c>
      <c r="H1586" s="81">
        <v>1976</v>
      </c>
      <c r="I1586" s="81" t="s">
        <v>247</v>
      </c>
      <c r="K1586" s="85"/>
    </row>
    <row r="1587" spans="1:11" x14ac:dyDescent="0.3">
      <c r="A1587" s="23">
        <v>8.8800000000000008</v>
      </c>
      <c r="B1587" s="23">
        <v>9.24</v>
      </c>
      <c r="C1587" s="81">
        <v>6120</v>
      </c>
      <c r="D1587" s="81">
        <v>1</v>
      </c>
      <c r="E1587" s="70">
        <v>3</v>
      </c>
      <c r="F1587" s="81" t="s">
        <v>260</v>
      </c>
      <c r="G1587" s="81" t="s">
        <v>246</v>
      </c>
      <c r="H1587" s="81">
        <v>1976</v>
      </c>
      <c r="I1587" s="81" t="s">
        <v>247</v>
      </c>
      <c r="K1587" s="85"/>
    </row>
    <row r="1588" spans="1:11" x14ac:dyDescent="0.3">
      <c r="A1588" s="23">
        <v>8.8800000000000008</v>
      </c>
      <c r="B1588" s="23">
        <v>9.56</v>
      </c>
      <c r="C1588" s="81">
        <v>6120</v>
      </c>
      <c r="D1588" s="81">
        <v>1</v>
      </c>
      <c r="E1588" s="70">
        <v>3</v>
      </c>
      <c r="F1588" s="81" t="s">
        <v>260</v>
      </c>
      <c r="G1588" s="81" t="s">
        <v>246</v>
      </c>
      <c r="H1588" s="81">
        <v>1976</v>
      </c>
      <c r="I1588" s="81" t="s">
        <v>247</v>
      </c>
      <c r="K1588" s="85"/>
    </row>
    <row r="1589" spans="1:11" x14ac:dyDescent="0.3">
      <c r="A1589" s="23">
        <v>8.89</v>
      </c>
      <c r="B1589" s="23">
        <v>10.85</v>
      </c>
      <c r="C1589" s="81">
        <v>6120</v>
      </c>
      <c r="D1589" s="81">
        <v>1</v>
      </c>
      <c r="E1589" s="70">
        <v>3</v>
      </c>
      <c r="F1589" s="81" t="s">
        <v>260</v>
      </c>
      <c r="G1589" s="81" t="s">
        <v>246</v>
      </c>
      <c r="H1589" s="81">
        <v>1976</v>
      </c>
      <c r="I1589" s="81" t="s">
        <v>247</v>
      </c>
      <c r="K1589" s="85"/>
    </row>
    <row r="1590" spans="1:11" x14ac:dyDescent="0.3">
      <c r="A1590" s="23">
        <v>8.94</v>
      </c>
      <c r="B1590" s="23">
        <v>8.81</v>
      </c>
      <c r="C1590" s="81">
        <v>6120</v>
      </c>
      <c r="D1590" s="81">
        <v>1</v>
      </c>
      <c r="E1590" s="70">
        <v>3</v>
      </c>
      <c r="F1590" s="81" t="s">
        <v>260</v>
      </c>
      <c r="G1590" s="81" t="s">
        <v>246</v>
      </c>
      <c r="H1590" s="81">
        <v>1976</v>
      </c>
      <c r="I1590" s="81" t="s">
        <v>247</v>
      </c>
      <c r="K1590" s="85"/>
    </row>
    <row r="1591" spans="1:11" x14ac:dyDescent="0.3">
      <c r="A1591" s="23">
        <v>8.94</v>
      </c>
      <c r="B1591" s="23">
        <v>9.07</v>
      </c>
      <c r="C1591" s="81">
        <v>6120</v>
      </c>
      <c r="D1591" s="81">
        <v>1</v>
      </c>
      <c r="E1591" s="70">
        <v>3</v>
      </c>
      <c r="F1591" s="81" t="s">
        <v>260</v>
      </c>
      <c r="G1591" s="81" t="s">
        <v>246</v>
      </c>
      <c r="H1591" s="81">
        <v>1976</v>
      </c>
      <c r="I1591" s="81" t="s">
        <v>247</v>
      </c>
      <c r="K1591" s="85"/>
    </row>
    <row r="1592" spans="1:11" x14ac:dyDescent="0.3">
      <c r="A1592" s="23">
        <v>8.9700000000000006</v>
      </c>
      <c r="B1592" s="23">
        <v>8.89</v>
      </c>
      <c r="C1592" s="81">
        <v>6120</v>
      </c>
      <c r="D1592" s="81">
        <v>1</v>
      </c>
      <c r="E1592" s="70">
        <v>3</v>
      </c>
      <c r="F1592" s="81" t="s">
        <v>260</v>
      </c>
      <c r="G1592" s="81" t="s">
        <v>246</v>
      </c>
      <c r="H1592" s="81">
        <v>1976</v>
      </c>
      <c r="I1592" s="81" t="s">
        <v>247</v>
      </c>
      <c r="K1592" s="85"/>
    </row>
    <row r="1593" spans="1:11" x14ac:dyDescent="0.3">
      <c r="A1593" s="23">
        <v>8.9700000000000006</v>
      </c>
      <c r="B1593" s="23">
        <v>8.89</v>
      </c>
      <c r="C1593" s="81">
        <v>6120</v>
      </c>
      <c r="D1593" s="81">
        <v>1</v>
      </c>
      <c r="E1593" s="70">
        <v>3</v>
      </c>
      <c r="F1593" s="81" t="s">
        <v>260</v>
      </c>
      <c r="G1593" s="81" t="s">
        <v>246</v>
      </c>
      <c r="H1593" s="81">
        <v>1976</v>
      </c>
      <c r="I1593" s="81" t="s">
        <v>247</v>
      </c>
      <c r="K1593" s="85"/>
    </row>
    <row r="1594" spans="1:11" x14ac:dyDescent="0.3">
      <c r="A1594" s="23">
        <v>8.9700000000000006</v>
      </c>
      <c r="B1594" s="23">
        <v>12.69</v>
      </c>
      <c r="C1594" s="81">
        <v>6120</v>
      </c>
      <c r="D1594" s="81">
        <v>1</v>
      </c>
      <c r="E1594" s="70">
        <v>3</v>
      </c>
      <c r="F1594" s="81" t="s">
        <v>260</v>
      </c>
      <c r="G1594" s="81" t="s">
        <v>246</v>
      </c>
      <c r="H1594" s="81">
        <v>1976</v>
      </c>
      <c r="I1594" s="81" t="s">
        <v>247</v>
      </c>
      <c r="K1594" s="85"/>
    </row>
    <row r="1595" spans="1:11" x14ac:dyDescent="0.3">
      <c r="A1595" s="23">
        <v>9</v>
      </c>
      <c r="B1595" s="23">
        <v>9.56</v>
      </c>
      <c r="C1595" s="81">
        <v>6120</v>
      </c>
      <c r="D1595" s="81">
        <v>1</v>
      </c>
      <c r="E1595" s="70">
        <v>3</v>
      </c>
      <c r="F1595" s="81" t="s">
        <v>260</v>
      </c>
      <c r="G1595" s="81" t="s">
        <v>246</v>
      </c>
      <c r="H1595" s="81">
        <v>1976</v>
      </c>
      <c r="I1595" s="81" t="s">
        <v>247</v>
      </c>
      <c r="K1595" s="85"/>
    </row>
    <row r="1596" spans="1:11" x14ac:dyDescent="0.3">
      <c r="A1596" s="23">
        <v>9</v>
      </c>
      <c r="B1596" s="23">
        <v>9.56</v>
      </c>
      <c r="C1596" s="81">
        <v>6120</v>
      </c>
      <c r="D1596" s="81">
        <v>1</v>
      </c>
      <c r="E1596" s="70">
        <v>3</v>
      </c>
      <c r="F1596" s="81" t="s">
        <v>260</v>
      </c>
      <c r="G1596" s="81" t="s">
        <v>246</v>
      </c>
      <c r="H1596" s="81">
        <v>1976</v>
      </c>
      <c r="I1596" s="81" t="s">
        <v>247</v>
      </c>
      <c r="K1596" s="85"/>
    </row>
    <row r="1597" spans="1:11" x14ac:dyDescent="0.3">
      <c r="A1597" s="23">
        <v>9.02</v>
      </c>
      <c r="B1597" s="23">
        <v>10.65</v>
      </c>
      <c r="C1597" s="15">
        <v>6120</v>
      </c>
      <c r="D1597" s="81">
        <v>1</v>
      </c>
      <c r="E1597" s="4">
        <v>3</v>
      </c>
      <c r="F1597" s="81" t="s">
        <v>260</v>
      </c>
      <c r="G1597" s="81" t="s">
        <v>246</v>
      </c>
      <c r="H1597" s="81">
        <v>1976</v>
      </c>
      <c r="I1597" s="81" t="s">
        <v>247</v>
      </c>
      <c r="K1597" s="85"/>
    </row>
    <row r="1598" spans="1:11" x14ac:dyDescent="0.3">
      <c r="A1598" s="23">
        <v>9.02</v>
      </c>
      <c r="B1598" s="23">
        <v>10.79</v>
      </c>
      <c r="C1598" s="81">
        <v>6120</v>
      </c>
      <c r="D1598" s="81">
        <v>1</v>
      </c>
      <c r="E1598" s="70">
        <v>3</v>
      </c>
      <c r="F1598" s="81" t="s">
        <v>260</v>
      </c>
      <c r="G1598" s="81" t="s">
        <v>246</v>
      </c>
      <c r="H1598" s="81">
        <v>1976</v>
      </c>
      <c r="I1598" s="81" t="s">
        <v>247</v>
      </c>
      <c r="K1598" s="85"/>
    </row>
    <row r="1599" spans="1:11" x14ac:dyDescent="0.3">
      <c r="A1599" s="23">
        <v>9.02</v>
      </c>
      <c r="B1599" s="23">
        <v>10.79</v>
      </c>
      <c r="C1599" s="81">
        <v>6120</v>
      </c>
      <c r="D1599" s="81">
        <v>1</v>
      </c>
      <c r="E1599" s="70">
        <v>3</v>
      </c>
      <c r="F1599" s="81" t="s">
        <v>260</v>
      </c>
      <c r="G1599" s="81" t="s">
        <v>246</v>
      </c>
      <c r="H1599" s="81">
        <v>1976</v>
      </c>
      <c r="I1599" s="81" t="s">
        <v>247</v>
      </c>
      <c r="K1599" s="85"/>
    </row>
    <row r="1600" spans="1:11" x14ac:dyDescent="0.3">
      <c r="A1600" s="23">
        <v>9.0299999999999994</v>
      </c>
      <c r="B1600" s="23">
        <v>9.24</v>
      </c>
      <c r="C1600" s="81">
        <v>6120</v>
      </c>
      <c r="D1600" s="81">
        <v>1</v>
      </c>
      <c r="E1600" s="70">
        <v>3</v>
      </c>
      <c r="F1600" s="81" t="s">
        <v>260</v>
      </c>
      <c r="G1600" s="81" t="s">
        <v>246</v>
      </c>
      <c r="H1600" s="81">
        <v>1976</v>
      </c>
      <c r="I1600" s="81" t="s">
        <v>247</v>
      </c>
      <c r="K1600" s="85"/>
    </row>
    <row r="1601" spans="1:11" x14ac:dyDescent="0.3">
      <c r="A1601" s="23">
        <v>9.1</v>
      </c>
      <c r="B1601" s="23">
        <v>8.7799999999999994</v>
      </c>
      <c r="C1601" s="81">
        <v>6120</v>
      </c>
      <c r="D1601" s="81">
        <v>1</v>
      </c>
      <c r="E1601" s="70">
        <v>3</v>
      </c>
      <c r="F1601" s="81" t="s">
        <v>260</v>
      </c>
      <c r="G1601" s="81" t="s">
        <v>246</v>
      </c>
      <c r="H1601" s="81">
        <v>1976</v>
      </c>
      <c r="I1601" s="81" t="s">
        <v>247</v>
      </c>
      <c r="K1601" s="85"/>
    </row>
    <row r="1602" spans="1:11" x14ac:dyDescent="0.3">
      <c r="A1602" s="23">
        <v>9.1</v>
      </c>
      <c r="B1602" s="23">
        <v>8.7799999999999994</v>
      </c>
      <c r="C1602" s="81">
        <v>6120</v>
      </c>
      <c r="D1602" s="81">
        <v>1</v>
      </c>
      <c r="E1602" s="70">
        <v>3</v>
      </c>
      <c r="F1602" s="81" t="s">
        <v>260</v>
      </c>
      <c r="G1602" s="81" t="s">
        <v>246</v>
      </c>
      <c r="H1602" s="81">
        <v>1976</v>
      </c>
      <c r="I1602" s="81" t="s">
        <v>247</v>
      </c>
      <c r="K1602" s="85"/>
    </row>
    <row r="1603" spans="1:11" x14ac:dyDescent="0.3">
      <c r="A1603" s="23">
        <v>9.1</v>
      </c>
      <c r="B1603" s="23">
        <v>8.7799999999999994</v>
      </c>
      <c r="C1603" s="81">
        <v>6120</v>
      </c>
      <c r="D1603" s="81">
        <v>1</v>
      </c>
      <c r="E1603" s="70">
        <v>3</v>
      </c>
      <c r="F1603" s="81" t="s">
        <v>260</v>
      </c>
      <c r="G1603" s="81" t="s">
        <v>246</v>
      </c>
      <c r="H1603" s="81">
        <v>1976</v>
      </c>
      <c r="I1603" s="81" t="s">
        <v>247</v>
      </c>
      <c r="K1603" s="85"/>
    </row>
    <row r="1604" spans="1:11" x14ac:dyDescent="0.3">
      <c r="A1604" s="23">
        <v>9.1</v>
      </c>
      <c r="B1604" s="23">
        <v>8.89</v>
      </c>
      <c r="C1604" s="81">
        <v>6120</v>
      </c>
      <c r="D1604" s="81">
        <v>1</v>
      </c>
      <c r="E1604" s="70">
        <v>3</v>
      </c>
      <c r="F1604" s="81" t="s">
        <v>260</v>
      </c>
      <c r="G1604" s="81" t="s">
        <v>246</v>
      </c>
      <c r="H1604" s="81">
        <v>1976</v>
      </c>
      <c r="I1604" s="81" t="s">
        <v>247</v>
      </c>
      <c r="K1604" s="85"/>
    </row>
    <row r="1605" spans="1:11" x14ac:dyDescent="0.3">
      <c r="A1605" s="23">
        <v>9.1199999999999992</v>
      </c>
      <c r="B1605" s="23">
        <v>9.07</v>
      </c>
      <c r="C1605" s="81">
        <v>6120</v>
      </c>
      <c r="D1605" s="81">
        <v>1</v>
      </c>
      <c r="E1605" s="70">
        <v>3</v>
      </c>
      <c r="F1605" s="81" t="s">
        <v>260</v>
      </c>
      <c r="G1605" s="81" t="s">
        <v>246</v>
      </c>
      <c r="H1605" s="81">
        <v>1976</v>
      </c>
      <c r="I1605" s="81" t="s">
        <v>247</v>
      </c>
      <c r="K1605" s="85"/>
    </row>
    <row r="1606" spans="1:11" x14ac:dyDescent="0.3">
      <c r="A1606" s="23">
        <v>9.1199999999999992</v>
      </c>
      <c r="B1606" s="23">
        <v>9.07</v>
      </c>
      <c r="C1606" s="81">
        <v>6120</v>
      </c>
      <c r="D1606" s="81">
        <v>1</v>
      </c>
      <c r="E1606" s="70">
        <v>3</v>
      </c>
      <c r="F1606" s="81" t="s">
        <v>260</v>
      </c>
      <c r="G1606" s="81" t="s">
        <v>246</v>
      </c>
      <c r="H1606" s="81">
        <v>1976</v>
      </c>
      <c r="I1606" s="81" t="s">
        <v>247</v>
      </c>
      <c r="K1606" s="85"/>
    </row>
    <row r="1607" spans="1:11" x14ac:dyDescent="0.3">
      <c r="A1607" s="23">
        <v>9.1199999999999992</v>
      </c>
      <c r="B1607" s="23">
        <v>9.07</v>
      </c>
      <c r="C1607" s="81">
        <v>6120</v>
      </c>
      <c r="D1607" s="81">
        <v>1</v>
      </c>
      <c r="E1607" s="70">
        <v>3</v>
      </c>
      <c r="F1607" s="81" t="s">
        <v>260</v>
      </c>
      <c r="G1607" s="81" t="s">
        <v>246</v>
      </c>
      <c r="H1607" s="81">
        <v>1976</v>
      </c>
      <c r="I1607" s="81" t="s">
        <v>247</v>
      </c>
      <c r="K1607" s="85"/>
    </row>
    <row r="1608" spans="1:11" x14ac:dyDescent="0.3">
      <c r="A1608" s="23">
        <v>9.15</v>
      </c>
      <c r="B1608" s="23">
        <v>9.2100000000000009</v>
      </c>
      <c r="C1608" s="81">
        <v>6120</v>
      </c>
      <c r="D1608" s="81">
        <v>1</v>
      </c>
      <c r="E1608" s="70">
        <v>3</v>
      </c>
      <c r="F1608" s="81" t="s">
        <v>260</v>
      </c>
      <c r="G1608" s="81" t="s">
        <v>246</v>
      </c>
      <c r="H1608" s="81">
        <v>1976</v>
      </c>
      <c r="I1608" s="81" t="s">
        <v>247</v>
      </c>
      <c r="K1608" s="85"/>
    </row>
    <row r="1609" spans="1:11" x14ac:dyDescent="0.3">
      <c r="A1609" s="23">
        <v>9.15</v>
      </c>
      <c r="B1609" s="23">
        <v>9.2100000000000009</v>
      </c>
      <c r="C1609" s="81">
        <v>6120</v>
      </c>
      <c r="D1609" s="81">
        <v>1</v>
      </c>
      <c r="E1609" s="70">
        <v>3</v>
      </c>
      <c r="F1609" s="81" t="s">
        <v>260</v>
      </c>
      <c r="G1609" s="81" t="s">
        <v>246</v>
      </c>
      <c r="H1609" s="81">
        <v>1976</v>
      </c>
      <c r="I1609" s="81" t="s">
        <v>247</v>
      </c>
      <c r="K1609" s="85"/>
    </row>
    <row r="1610" spans="1:11" x14ac:dyDescent="0.3">
      <c r="A1610" s="23">
        <v>9.19</v>
      </c>
      <c r="B1610" s="23">
        <v>8.7799999999999994</v>
      </c>
      <c r="C1610" s="81">
        <v>6120</v>
      </c>
      <c r="D1610" s="81">
        <v>1</v>
      </c>
      <c r="E1610" s="70">
        <v>3</v>
      </c>
      <c r="F1610" s="81" t="s">
        <v>260</v>
      </c>
      <c r="G1610" s="81" t="s">
        <v>246</v>
      </c>
      <c r="H1610" s="81">
        <v>1976</v>
      </c>
      <c r="I1610" s="81" t="s">
        <v>247</v>
      </c>
      <c r="K1610" s="85"/>
    </row>
    <row r="1611" spans="1:11" x14ac:dyDescent="0.3">
      <c r="A1611" s="23">
        <v>9.19</v>
      </c>
      <c r="B1611" s="23">
        <v>8.7799999999999994</v>
      </c>
      <c r="C1611" s="81">
        <v>6120</v>
      </c>
      <c r="D1611" s="81">
        <v>1</v>
      </c>
      <c r="E1611" s="70">
        <v>3</v>
      </c>
      <c r="F1611" s="81" t="s">
        <v>260</v>
      </c>
      <c r="G1611" s="81" t="s">
        <v>246</v>
      </c>
      <c r="H1611" s="81">
        <v>1976</v>
      </c>
      <c r="I1611" s="81" t="s">
        <v>247</v>
      </c>
      <c r="K1611" s="85"/>
    </row>
    <row r="1612" spans="1:11" x14ac:dyDescent="0.3">
      <c r="A1612" s="23">
        <v>9.19</v>
      </c>
      <c r="B1612" s="23">
        <v>8.89</v>
      </c>
      <c r="C1612" s="81">
        <v>6120</v>
      </c>
      <c r="D1612" s="81">
        <v>1</v>
      </c>
      <c r="E1612" s="70">
        <v>3</v>
      </c>
      <c r="F1612" s="81" t="s">
        <v>260</v>
      </c>
      <c r="G1612" s="81" t="s">
        <v>246</v>
      </c>
      <c r="H1612" s="81">
        <v>1976</v>
      </c>
      <c r="I1612" s="81" t="s">
        <v>247</v>
      </c>
      <c r="K1612" s="85"/>
    </row>
    <row r="1613" spans="1:11" x14ac:dyDescent="0.3">
      <c r="A1613" s="23">
        <v>9.19</v>
      </c>
      <c r="B1613" s="23">
        <v>8.89</v>
      </c>
      <c r="C1613" s="81">
        <v>6120</v>
      </c>
      <c r="D1613" s="81">
        <v>1</v>
      </c>
      <c r="E1613" s="70">
        <v>3</v>
      </c>
      <c r="F1613" s="81" t="s">
        <v>260</v>
      </c>
      <c r="G1613" s="81" t="s">
        <v>246</v>
      </c>
      <c r="H1613" s="81">
        <v>1976</v>
      </c>
      <c r="I1613" s="81" t="s">
        <v>247</v>
      </c>
      <c r="K1613" s="85"/>
    </row>
    <row r="1614" spans="1:11" x14ac:dyDescent="0.3">
      <c r="A1614" s="23">
        <v>9.25</v>
      </c>
      <c r="B1614" s="23">
        <v>9.07</v>
      </c>
      <c r="C1614" s="81">
        <v>6120</v>
      </c>
      <c r="D1614" s="81">
        <v>1</v>
      </c>
      <c r="E1614" s="70">
        <v>3</v>
      </c>
      <c r="F1614" s="81" t="s">
        <v>260</v>
      </c>
      <c r="G1614" s="81" t="s">
        <v>246</v>
      </c>
      <c r="H1614" s="81">
        <v>1976</v>
      </c>
      <c r="I1614" s="81" t="s">
        <v>247</v>
      </c>
      <c r="K1614" s="85"/>
    </row>
    <row r="1615" spans="1:11" x14ac:dyDescent="0.3">
      <c r="A1615" s="23">
        <v>9.25</v>
      </c>
      <c r="B1615" s="23">
        <v>9.07</v>
      </c>
      <c r="C1615" s="81">
        <v>6120</v>
      </c>
      <c r="D1615" s="81">
        <v>1</v>
      </c>
      <c r="E1615" s="70">
        <v>3</v>
      </c>
      <c r="F1615" s="81" t="s">
        <v>260</v>
      </c>
      <c r="G1615" s="81" t="s">
        <v>246</v>
      </c>
      <c r="H1615" s="81">
        <v>1976</v>
      </c>
      <c r="I1615" s="81" t="s">
        <v>247</v>
      </c>
      <c r="K1615" s="85"/>
    </row>
    <row r="1616" spans="1:11" x14ac:dyDescent="0.3">
      <c r="A1616" s="23">
        <v>9.31</v>
      </c>
      <c r="B1616" s="23">
        <v>8.8699999999999992</v>
      </c>
      <c r="C1616" s="81">
        <v>6120</v>
      </c>
      <c r="D1616" s="81">
        <v>1</v>
      </c>
      <c r="E1616" s="70">
        <v>3</v>
      </c>
      <c r="F1616" s="81" t="s">
        <v>260</v>
      </c>
      <c r="G1616" s="81" t="s">
        <v>246</v>
      </c>
      <c r="H1616" s="81">
        <v>1976</v>
      </c>
      <c r="I1616" s="81" t="s">
        <v>247</v>
      </c>
      <c r="K1616" s="85"/>
    </row>
    <row r="1617" spans="1:11" x14ac:dyDescent="0.3">
      <c r="A1617" s="23">
        <v>9.7899999999999991</v>
      </c>
      <c r="B1617" s="23">
        <v>9.73</v>
      </c>
      <c r="C1617" s="81">
        <v>6120</v>
      </c>
      <c r="D1617" s="81">
        <v>1</v>
      </c>
      <c r="E1617" s="70">
        <v>3</v>
      </c>
      <c r="F1617" s="81" t="s">
        <v>260</v>
      </c>
      <c r="G1617" s="81" t="s">
        <v>246</v>
      </c>
      <c r="H1617" s="81">
        <v>1976</v>
      </c>
      <c r="I1617" s="81" t="s">
        <v>247</v>
      </c>
      <c r="K1617" s="85"/>
    </row>
    <row r="1618" spans="1:11" x14ac:dyDescent="0.3">
      <c r="A1618" s="23">
        <v>9.81</v>
      </c>
      <c r="B1618" s="23">
        <v>7.77</v>
      </c>
      <c r="C1618" s="81">
        <v>6120</v>
      </c>
      <c r="D1618" s="81">
        <v>1</v>
      </c>
      <c r="E1618" s="70">
        <v>3</v>
      </c>
      <c r="F1618" s="81" t="s">
        <v>260</v>
      </c>
      <c r="G1618" s="81" t="s">
        <v>246</v>
      </c>
      <c r="H1618" s="81">
        <v>1976</v>
      </c>
      <c r="I1618" s="81" t="s">
        <v>247</v>
      </c>
      <c r="K1618" s="85"/>
    </row>
    <row r="1619" spans="1:11" x14ac:dyDescent="0.3">
      <c r="A1619" s="23">
        <v>9.85</v>
      </c>
      <c r="B1619" s="23">
        <v>12.63</v>
      </c>
      <c r="C1619" s="81">
        <v>6120</v>
      </c>
      <c r="D1619" s="81">
        <v>1</v>
      </c>
      <c r="E1619" s="70">
        <v>3</v>
      </c>
      <c r="F1619" s="81" t="s">
        <v>260</v>
      </c>
      <c r="G1619" s="81" t="s">
        <v>246</v>
      </c>
      <c r="H1619" s="81">
        <v>1976</v>
      </c>
      <c r="I1619" s="81" t="s">
        <v>247</v>
      </c>
      <c r="K1619" s="85"/>
    </row>
    <row r="1620" spans="1:11" x14ac:dyDescent="0.3">
      <c r="A1620" s="23">
        <v>9.93</v>
      </c>
      <c r="B1620" s="23">
        <v>10.7</v>
      </c>
      <c r="C1620" s="81">
        <v>6120</v>
      </c>
      <c r="D1620" s="81">
        <v>1</v>
      </c>
      <c r="E1620" s="70">
        <v>3</v>
      </c>
      <c r="F1620" s="81" t="s">
        <v>260</v>
      </c>
      <c r="G1620" s="81" t="s">
        <v>246</v>
      </c>
      <c r="H1620" s="81">
        <v>1976</v>
      </c>
      <c r="I1620" s="81" t="s">
        <v>247</v>
      </c>
      <c r="K1620" s="85"/>
    </row>
    <row r="1621" spans="1:11" x14ac:dyDescent="0.3">
      <c r="A1621" s="23">
        <v>9.9700000000000006</v>
      </c>
      <c r="B1621" s="23">
        <v>9.6999999999999993</v>
      </c>
      <c r="C1621" s="81">
        <v>6120</v>
      </c>
      <c r="D1621" s="81">
        <v>1</v>
      </c>
      <c r="E1621" s="70">
        <v>3</v>
      </c>
      <c r="F1621" s="81" t="s">
        <v>260</v>
      </c>
      <c r="G1621" s="81" t="s">
        <v>246</v>
      </c>
      <c r="H1621" s="81">
        <v>1976</v>
      </c>
      <c r="I1621" s="81" t="s">
        <v>247</v>
      </c>
      <c r="K1621" s="85"/>
    </row>
    <row r="1622" spans="1:11" x14ac:dyDescent="0.3">
      <c r="A1622" s="23">
        <v>10.78</v>
      </c>
      <c r="B1622" s="23">
        <v>11.65</v>
      </c>
      <c r="C1622" s="81">
        <v>6120</v>
      </c>
      <c r="D1622" s="81">
        <v>1</v>
      </c>
      <c r="E1622" s="70">
        <v>3</v>
      </c>
      <c r="F1622" s="81" t="s">
        <v>260</v>
      </c>
      <c r="G1622" s="81" t="s">
        <v>246</v>
      </c>
      <c r="H1622" s="81">
        <v>1976</v>
      </c>
      <c r="I1622" s="81" t="s">
        <v>247</v>
      </c>
      <c r="K1622" s="85"/>
    </row>
    <row r="1623" spans="1:11" x14ac:dyDescent="0.3">
      <c r="A1623" s="23">
        <v>10.88</v>
      </c>
      <c r="B1623" s="23">
        <v>10.73</v>
      </c>
      <c r="C1623" s="81">
        <v>6120</v>
      </c>
      <c r="D1623" s="81">
        <v>1</v>
      </c>
      <c r="E1623" s="70">
        <v>3</v>
      </c>
      <c r="F1623" s="81" t="s">
        <v>260</v>
      </c>
      <c r="G1623" s="81" t="s">
        <v>246</v>
      </c>
      <c r="H1623" s="81">
        <v>1976</v>
      </c>
      <c r="I1623" s="81" t="s">
        <v>247</v>
      </c>
      <c r="K1623" s="85"/>
    </row>
    <row r="1624" spans="1:11" x14ac:dyDescent="0.3">
      <c r="A1624" s="23">
        <v>10.88</v>
      </c>
      <c r="B1624" s="23">
        <v>10.73</v>
      </c>
      <c r="C1624" s="81">
        <v>6120</v>
      </c>
      <c r="D1624" s="81">
        <v>1</v>
      </c>
      <c r="E1624" s="70">
        <v>3</v>
      </c>
      <c r="F1624" s="81" t="s">
        <v>260</v>
      </c>
      <c r="G1624" s="81" t="s">
        <v>246</v>
      </c>
      <c r="H1624" s="81">
        <v>1976</v>
      </c>
      <c r="I1624" s="81" t="s">
        <v>247</v>
      </c>
      <c r="K1624" s="85"/>
    </row>
    <row r="1625" spans="1:11" x14ac:dyDescent="0.3">
      <c r="A1625" s="23">
        <v>10.88</v>
      </c>
      <c r="B1625" s="23">
        <v>10.85</v>
      </c>
      <c r="C1625" s="81">
        <v>6120</v>
      </c>
      <c r="D1625" s="81">
        <v>1</v>
      </c>
      <c r="E1625" s="70">
        <v>3</v>
      </c>
      <c r="F1625" s="81" t="s">
        <v>260</v>
      </c>
      <c r="G1625" s="81" t="s">
        <v>246</v>
      </c>
      <c r="H1625" s="81">
        <v>1976</v>
      </c>
      <c r="I1625" s="81" t="s">
        <v>247</v>
      </c>
      <c r="K1625" s="85"/>
    </row>
    <row r="1626" spans="1:11" x14ac:dyDescent="0.3">
      <c r="A1626" s="23">
        <v>11.06</v>
      </c>
      <c r="B1626" s="23">
        <v>10.85</v>
      </c>
      <c r="C1626" s="81">
        <v>6120</v>
      </c>
      <c r="D1626" s="81">
        <v>1</v>
      </c>
      <c r="E1626" s="70">
        <v>3</v>
      </c>
      <c r="F1626" s="81" t="s">
        <v>260</v>
      </c>
      <c r="G1626" s="81" t="s">
        <v>246</v>
      </c>
      <c r="H1626" s="81">
        <v>1976</v>
      </c>
      <c r="I1626" s="81" t="s">
        <v>247</v>
      </c>
      <c r="K1626" s="85"/>
    </row>
    <row r="1627" spans="1:11" x14ac:dyDescent="0.3">
      <c r="A1627" s="23">
        <v>11.15</v>
      </c>
      <c r="B1627" s="23">
        <v>10.68</v>
      </c>
      <c r="C1627" s="81">
        <v>6120</v>
      </c>
      <c r="D1627" s="81">
        <v>1</v>
      </c>
      <c r="E1627" s="70">
        <v>3</v>
      </c>
      <c r="F1627" s="81" t="s">
        <v>260</v>
      </c>
      <c r="G1627" s="81" t="s">
        <v>246</v>
      </c>
      <c r="H1627" s="81">
        <v>1976</v>
      </c>
      <c r="I1627" s="81" t="s">
        <v>247</v>
      </c>
      <c r="K1627" s="85"/>
    </row>
    <row r="1628" spans="1:11" x14ac:dyDescent="0.3">
      <c r="A1628" s="23">
        <v>11.82</v>
      </c>
      <c r="B1628" s="23">
        <v>10.59</v>
      </c>
      <c r="C1628" s="81">
        <v>6120</v>
      </c>
      <c r="D1628" s="81">
        <v>1</v>
      </c>
      <c r="E1628" s="70">
        <v>3</v>
      </c>
      <c r="F1628" s="81" t="s">
        <v>260</v>
      </c>
      <c r="G1628" s="81" t="s">
        <v>246</v>
      </c>
      <c r="H1628" s="81">
        <v>1976</v>
      </c>
      <c r="I1628" s="81" t="s">
        <v>247</v>
      </c>
      <c r="K1628" s="85"/>
    </row>
    <row r="1629" spans="1:11" x14ac:dyDescent="0.3">
      <c r="A1629" s="23">
        <v>12.87</v>
      </c>
      <c r="B1629" s="23">
        <v>12.57</v>
      </c>
      <c r="C1629" s="81">
        <v>6120</v>
      </c>
      <c r="D1629" s="81">
        <v>1</v>
      </c>
      <c r="E1629" s="70">
        <v>3</v>
      </c>
      <c r="F1629" s="81" t="s">
        <v>260</v>
      </c>
      <c r="G1629" s="81" t="s">
        <v>246</v>
      </c>
      <c r="H1629" s="81">
        <v>1976</v>
      </c>
      <c r="I1629" s="81" t="s">
        <v>247</v>
      </c>
      <c r="K1629" s="85"/>
    </row>
    <row r="1630" spans="1:11" x14ac:dyDescent="0.3">
      <c r="A1630" s="23">
        <v>0</v>
      </c>
      <c r="B1630" s="23">
        <v>4</v>
      </c>
      <c r="C1630" s="81">
        <v>2520</v>
      </c>
      <c r="D1630" s="81">
        <v>2</v>
      </c>
      <c r="E1630" s="4">
        <v>1</v>
      </c>
      <c r="F1630" s="15" t="s">
        <v>233</v>
      </c>
      <c r="G1630" s="15" t="s">
        <v>63</v>
      </c>
      <c r="H1630" s="15">
        <v>1966</v>
      </c>
      <c r="I1630" s="15" t="s">
        <v>231</v>
      </c>
    </row>
    <row r="1631" spans="1:11" x14ac:dyDescent="0.3">
      <c r="A1631" s="23">
        <v>0</v>
      </c>
      <c r="B1631" s="23">
        <v>5</v>
      </c>
      <c r="C1631" s="81">
        <v>2520</v>
      </c>
      <c r="D1631" s="81">
        <v>4</v>
      </c>
      <c r="E1631" s="70">
        <v>1</v>
      </c>
      <c r="F1631" s="81" t="s">
        <v>233</v>
      </c>
      <c r="G1631" s="81" t="s">
        <v>63</v>
      </c>
      <c r="H1631" s="81">
        <v>1966</v>
      </c>
      <c r="I1631" s="81" t="s">
        <v>231</v>
      </c>
    </row>
    <row r="1632" spans="1:11" x14ac:dyDescent="0.3">
      <c r="A1632" s="23">
        <v>0</v>
      </c>
      <c r="B1632" s="23">
        <v>6</v>
      </c>
      <c r="C1632" s="81">
        <v>2520</v>
      </c>
      <c r="D1632" s="81">
        <v>4</v>
      </c>
      <c r="E1632" s="70">
        <v>1</v>
      </c>
      <c r="F1632" s="81" t="s">
        <v>233</v>
      </c>
      <c r="G1632" s="81" t="s">
        <v>63</v>
      </c>
      <c r="H1632" s="81">
        <v>1966</v>
      </c>
      <c r="I1632" s="81" t="s">
        <v>231</v>
      </c>
    </row>
    <row r="1633" spans="1:9" x14ac:dyDescent="0.3">
      <c r="A1633" s="23">
        <v>0</v>
      </c>
      <c r="B1633" s="23">
        <v>7</v>
      </c>
      <c r="C1633" s="81">
        <v>2520</v>
      </c>
      <c r="D1633" s="81">
        <v>2</v>
      </c>
      <c r="E1633" s="70">
        <v>1</v>
      </c>
      <c r="F1633" s="81" t="s">
        <v>233</v>
      </c>
      <c r="G1633" s="81" t="s">
        <v>63</v>
      </c>
      <c r="H1633" s="81">
        <v>1966</v>
      </c>
      <c r="I1633" s="81" t="s">
        <v>231</v>
      </c>
    </row>
    <row r="1634" spans="1:9" x14ac:dyDescent="0.3">
      <c r="A1634" s="23">
        <v>0</v>
      </c>
      <c r="B1634" s="23">
        <v>8</v>
      </c>
      <c r="C1634" s="81">
        <v>2520</v>
      </c>
      <c r="D1634" s="81">
        <v>3</v>
      </c>
      <c r="E1634" s="70">
        <v>1</v>
      </c>
      <c r="F1634" s="81" t="s">
        <v>233</v>
      </c>
      <c r="G1634" s="81" t="s">
        <v>63</v>
      </c>
      <c r="H1634" s="81">
        <v>1966</v>
      </c>
      <c r="I1634" s="81" t="s">
        <v>231</v>
      </c>
    </row>
    <row r="1635" spans="1:9" x14ac:dyDescent="0.3">
      <c r="A1635" s="23">
        <v>0</v>
      </c>
      <c r="B1635" s="23">
        <v>9</v>
      </c>
      <c r="C1635" s="81">
        <v>2520</v>
      </c>
      <c r="D1635" s="81">
        <v>1</v>
      </c>
      <c r="E1635" s="70">
        <v>1</v>
      </c>
      <c r="F1635" s="81" t="s">
        <v>233</v>
      </c>
      <c r="G1635" s="81" t="s">
        <v>63</v>
      </c>
      <c r="H1635" s="81">
        <v>1966</v>
      </c>
      <c r="I1635" s="81" t="s">
        <v>231</v>
      </c>
    </row>
    <row r="1636" spans="1:9" x14ac:dyDescent="0.3">
      <c r="A1636" s="23">
        <v>0</v>
      </c>
      <c r="B1636" s="23">
        <v>10</v>
      </c>
      <c r="C1636" s="81">
        <v>2520</v>
      </c>
      <c r="D1636" s="81">
        <v>3</v>
      </c>
      <c r="E1636" s="70">
        <v>1</v>
      </c>
      <c r="F1636" s="81" t="s">
        <v>233</v>
      </c>
      <c r="G1636" s="81" t="s">
        <v>63</v>
      </c>
      <c r="H1636" s="81">
        <v>1966</v>
      </c>
      <c r="I1636" s="81" t="s">
        <v>231</v>
      </c>
    </row>
    <row r="1637" spans="1:9" x14ac:dyDescent="0.3">
      <c r="A1637" s="23">
        <v>3</v>
      </c>
      <c r="B1637" s="23">
        <v>3</v>
      </c>
      <c r="C1637" s="81">
        <v>2520</v>
      </c>
      <c r="D1637" s="81">
        <v>1</v>
      </c>
      <c r="E1637" s="70">
        <v>1</v>
      </c>
      <c r="F1637" s="81" t="s">
        <v>233</v>
      </c>
      <c r="G1637" s="81" t="s">
        <v>63</v>
      </c>
      <c r="H1637" s="81">
        <v>1966</v>
      </c>
      <c r="I1637" s="81" t="s">
        <v>231</v>
      </c>
    </row>
    <row r="1638" spans="1:9" x14ac:dyDescent="0.3">
      <c r="A1638" s="23">
        <v>3</v>
      </c>
      <c r="B1638" s="23">
        <v>6</v>
      </c>
      <c r="C1638" s="81">
        <v>2520</v>
      </c>
      <c r="D1638" s="81">
        <v>1</v>
      </c>
      <c r="E1638" s="70">
        <v>1</v>
      </c>
      <c r="F1638" s="81" t="s">
        <v>233</v>
      </c>
      <c r="G1638" s="81" t="s">
        <v>63</v>
      </c>
      <c r="H1638" s="81">
        <v>1966</v>
      </c>
      <c r="I1638" s="81" t="s">
        <v>231</v>
      </c>
    </row>
    <row r="1639" spans="1:9" x14ac:dyDescent="0.3">
      <c r="A1639" s="23">
        <v>3</v>
      </c>
      <c r="B1639" s="23">
        <v>7</v>
      </c>
      <c r="C1639" s="81">
        <v>2520</v>
      </c>
      <c r="D1639" s="81">
        <v>1</v>
      </c>
      <c r="E1639" s="70">
        <v>1</v>
      </c>
      <c r="F1639" s="81" t="s">
        <v>233</v>
      </c>
      <c r="G1639" s="81" t="s">
        <v>63</v>
      </c>
      <c r="H1639" s="81">
        <v>1966</v>
      </c>
      <c r="I1639" s="81" t="s">
        <v>231</v>
      </c>
    </row>
    <row r="1640" spans="1:9" x14ac:dyDescent="0.3">
      <c r="A1640" s="23">
        <v>3</v>
      </c>
      <c r="B1640" s="23">
        <v>8</v>
      </c>
      <c r="C1640" s="81">
        <v>2520</v>
      </c>
      <c r="D1640" s="81">
        <v>2</v>
      </c>
      <c r="E1640" s="70">
        <v>1</v>
      </c>
      <c r="F1640" s="81" t="s">
        <v>233</v>
      </c>
      <c r="G1640" s="81" t="s">
        <v>63</v>
      </c>
      <c r="H1640" s="81">
        <v>1966</v>
      </c>
      <c r="I1640" s="81" t="s">
        <v>231</v>
      </c>
    </row>
    <row r="1641" spans="1:9" x14ac:dyDescent="0.3">
      <c r="A1641" s="23">
        <v>3</v>
      </c>
      <c r="B1641" s="23">
        <v>10</v>
      </c>
      <c r="C1641" s="81">
        <v>2520</v>
      </c>
      <c r="D1641" s="81">
        <v>5</v>
      </c>
      <c r="E1641" s="70">
        <v>1</v>
      </c>
      <c r="F1641" s="81" t="s">
        <v>233</v>
      </c>
      <c r="G1641" s="81" t="s">
        <v>63</v>
      </c>
      <c r="H1641" s="81">
        <v>1966</v>
      </c>
      <c r="I1641" s="81" t="s">
        <v>231</v>
      </c>
    </row>
    <row r="1642" spans="1:9" x14ac:dyDescent="0.3">
      <c r="A1642" s="23">
        <v>4</v>
      </c>
      <c r="B1642" s="23">
        <v>7</v>
      </c>
      <c r="C1642" s="81">
        <v>2520</v>
      </c>
      <c r="D1642" s="81">
        <v>2</v>
      </c>
      <c r="E1642" s="70">
        <v>1</v>
      </c>
      <c r="F1642" s="81" t="s">
        <v>233</v>
      </c>
      <c r="G1642" s="81" t="s">
        <v>63</v>
      </c>
      <c r="H1642" s="81">
        <v>1966</v>
      </c>
      <c r="I1642" s="81" t="s">
        <v>231</v>
      </c>
    </row>
    <row r="1643" spans="1:9" x14ac:dyDescent="0.3">
      <c r="A1643" s="23">
        <v>4</v>
      </c>
      <c r="B1643" s="23">
        <v>9</v>
      </c>
      <c r="C1643" s="81">
        <v>2520</v>
      </c>
      <c r="D1643" s="81">
        <v>3</v>
      </c>
      <c r="E1643" s="70">
        <v>1</v>
      </c>
      <c r="F1643" s="81" t="s">
        <v>233</v>
      </c>
      <c r="G1643" s="81" t="s">
        <v>63</v>
      </c>
      <c r="H1643" s="81">
        <v>1966</v>
      </c>
      <c r="I1643" s="81" t="s">
        <v>231</v>
      </c>
    </row>
    <row r="1644" spans="1:9" x14ac:dyDescent="0.3">
      <c r="A1644" s="23">
        <v>4</v>
      </c>
      <c r="B1644" s="23">
        <v>10</v>
      </c>
      <c r="C1644" s="81">
        <v>2520</v>
      </c>
      <c r="D1644" s="81">
        <v>6</v>
      </c>
      <c r="E1644" s="70">
        <v>1</v>
      </c>
      <c r="F1644" s="81" t="s">
        <v>233</v>
      </c>
      <c r="G1644" s="81" t="s">
        <v>63</v>
      </c>
      <c r="H1644" s="81">
        <v>1966</v>
      </c>
      <c r="I1644" s="81" t="s">
        <v>231</v>
      </c>
    </row>
    <row r="1645" spans="1:9" x14ac:dyDescent="0.3">
      <c r="A1645" s="23">
        <v>5</v>
      </c>
      <c r="B1645" s="23">
        <v>6</v>
      </c>
      <c r="C1645" s="81">
        <v>2520</v>
      </c>
      <c r="D1645" s="81">
        <v>1</v>
      </c>
      <c r="E1645" s="70">
        <v>1</v>
      </c>
      <c r="F1645" s="81" t="s">
        <v>233</v>
      </c>
      <c r="G1645" s="81" t="s">
        <v>63</v>
      </c>
      <c r="H1645" s="81">
        <v>1966</v>
      </c>
      <c r="I1645" s="81" t="s">
        <v>231</v>
      </c>
    </row>
    <row r="1646" spans="1:9" x14ac:dyDescent="0.3">
      <c r="A1646" s="23">
        <v>5</v>
      </c>
      <c r="B1646" s="23">
        <v>7</v>
      </c>
      <c r="C1646" s="81">
        <v>2520</v>
      </c>
      <c r="D1646" s="81">
        <v>1</v>
      </c>
      <c r="E1646" s="70">
        <v>1</v>
      </c>
      <c r="F1646" s="81" t="s">
        <v>233</v>
      </c>
      <c r="G1646" s="81" t="s">
        <v>63</v>
      </c>
      <c r="H1646" s="81">
        <v>1966</v>
      </c>
      <c r="I1646" s="81" t="s">
        <v>231</v>
      </c>
    </row>
    <row r="1647" spans="1:9" x14ac:dyDescent="0.3">
      <c r="A1647" s="23">
        <v>5</v>
      </c>
      <c r="B1647" s="23">
        <v>8</v>
      </c>
      <c r="C1647" s="81">
        <v>2520</v>
      </c>
      <c r="D1647" s="81">
        <v>1</v>
      </c>
      <c r="E1647" s="70">
        <v>1</v>
      </c>
      <c r="F1647" s="81" t="s">
        <v>233</v>
      </c>
      <c r="G1647" s="81" t="s">
        <v>63</v>
      </c>
      <c r="H1647" s="81">
        <v>1966</v>
      </c>
      <c r="I1647" s="81" t="s">
        <v>231</v>
      </c>
    </row>
    <row r="1648" spans="1:9" x14ac:dyDescent="0.3">
      <c r="A1648" s="23">
        <v>5</v>
      </c>
      <c r="B1648" s="23">
        <v>9</v>
      </c>
      <c r="C1648" s="81">
        <v>2520</v>
      </c>
      <c r="D1648" s="81">
        <v>2</v>
      </c>
      <c r="E1648" s="70">
        <v>1</v>
      </c>
      <c r="F1648" s="81" t="s">
        <v>233</v>
      </c>
      <c r="G1648" s="81" t="s">
        <v>63</v>
      </c>
      <c r="H1648" s="81">
        <v>1966</v>
      </c>
      <c r="I1648" s="81" t="s">
        <v>231</v>
      </c>
    </row>
    <row r="1649" spans="1:9" x14ac:dyDescent="0.3">
      <c r="A1649" s="23">
        <v>5</v>
      </c>
      <c r="B1649" s="23">
        <v>10</v>
      </c>
      <c r="C1649" s="81">
        <v>2520</v>
      </c>
      <c r="D1649" s="81">
        <v>5</v>
      </c>
      <c r="E1649" s="70">
        <v>1</v>
      </c>
      <c r="F1649" s="81" t="s">
        <v>233</v>
      </c>
      <c r="G1649" s="81" t="s">
        <v>63</v>
      </c>
      <c r="H1649" s="81">
        <v>1966</v>
      </c>
      <c r="I1649" s="81" t="s">
        <v>231</v>
      </c>
    </row>
    <row r="1650" spans="1:9" x14ac:dyDescent="0.3">
      <c r="A1650" s="23">
        <v>6</v>
      </c>
      <c r="B1650" s="23">
        <v>6</v>
      </c>
      <c r="C1650" s="81">
        <v>2520</v>
      </c>
      <c r="D1650" s="81">
        <v>1</v>
      </c>
      <c r="E1650" s="70">
        <v>1</v>
      </c>
      <c r="F1650" s="81" t="s">
        <v>233</v>
      </c>
      <c r="G1650" s="81" t="s">
        <v>63</v>
      </c>
      <c r="H1650" s="81">
        <v>1966</v>
      </c>
      <c r="I1650" s="81" t="s">
        <v>231</v>
      </c>
    </row>
    <row r="1651" spans="1:9" x14ac:dyDescent="0.3">
      <c r="A1651" s="23">
        <v>6</v>
      </c>
      <c r="B1651" s="23">
        <v>9</v>
      </c>
      <c r="C1651" s="81">
        <v>2520</v>
      </c>
      <c r="D1651" s="81">
        <v>3</v>
      </c>
      <c r="E1651" s="70">
        <v>1</v>
      </c>
      <c r="F1651" s="81" t="s">
        <v>233</v>
      </c>
      <c r="G1651" s="81" t="s">
        <v>63</v>
      </c>
      <c r="H1651" s="81">
        <v>1966</v>
      </c>
      <c r="I1651" s="81" t="s">
        <v>231</v>
      </c>
    </row>
    <row r="1652" spans="1:9" x14ac:dyDescent="0.3">
      <c r="A1652" s="23">
        <v>6</v>
      </c>
      <c r="B1652" s="23">
        <v>10</v>
      </c>
      <c r="C1652" s="81">
        <v>2520</v>
      </c>
      <c r="D1652" s="81">
        <v>6</v>
      </c>
      <c r="E1652" s="70">
        <v>1</v>
      </c>
      <c r="F1652" s="81" t="s">
        <v>233</v>
      </c>
      <c r="G1652" s="81" t="s">
        <v>63</v>
      </c>
      <c r="H1652" s="81">
        <v>1966</v>
      </c>
      <c r="I1652" s="81" t="s">
        <v>231</v>
      </c>
    </row>
    <row r="1653" spans="1:9" x14ac:dyDescent="0.3">
      <c r="A1653" s="23">
        <v>7</v>
      </c>
      <c r="B1653" s="23">
        <v>7</v>
      </c>
      <c r="C1653" s="81">
        <v>2520</v>
      </c>
      <c r="D1653" s="81">
        <v>4</v>
      </c>
      <c r="E1653" s="70">
        <v>1</v>
      </c>
      <c r="F1653" s="81" t="s">
        <v>233</v>
      </c>
      <c r="G1653" s="81" t="s">
        <v>63</v>
      </c>
      <c r="H1653" s="81">
        <v>1966</v>
      </c>
      <c r="I1653" s="81" t="s">
        <v>231</v>
      </c>
    </row>
    <row r="1654" spans="1:9" x14ac:dyDescent="0.3">
      <c r="A1654" s="23">
        <v>7</v>
      </c>
      <c r="B1654" s="23">
        <v>8</v>
      </c>
      <c r="C1654" s="81">
        <v>2520</v>
      </c>
      <c r="D1654" s="81">
        <v>1</v>
      </c>
      <c r="E1654" s="70">
        <v>1</v>
      </c>
      <c r="F1654" s="81" t="s">
        <v>233</v>
      </c>
      <c r="G1654" s="81" t="s">
        <v>63</v>
      </c>
      <c r="H1654" s="81">
        <v>1966</v>
      </c>
      <c r="I1654" s="81" t="s">
        <v>231</v>
      </c>
    </row>
    <row r="1655" spans="1:9" x14ac:dyDescent="0.3">
      <c r="A1655" s="23">
        <v>7</v>
      </c>
      <c r="B1655" s="23">
        <v>9</v>
      </c>
      <c r="C1655" s="81">
        <v>2520</v>
      </c>
      <c r="D1655" s="81">
        <v>2</v>
      </c>
      <c r="E1655" s="70">
        <v>1</v>
      </c>
      <c r="F1655" s="81" t="s">
        <v>233</v>
      </c>
      <c r="G1655" s="81" t="s">
        <v>63</v>
      </c>
      <c r="H1655" s="81">
        <v>1966</v>
      </c>
      <c r="I1655" s="81" t="s">
        <v>231</v>
      </c>
    </row>
    <row r="1656" spans="1:9" x14ac:dyDescent="0.3">
      <c r="A1656" s="23">
        <v>7</v>
      </c>
      <c r="B1656" s="23">
        <v>10</v>
      </c>
      <c r="C1656" s="81">
        <v>2520</v>
      </c>
      <c r="D1656" s="81">
        <v>11</v>
      </c>
      <c r="E1656" s="70">
        <v>1</v>
      </c>
      <c r="F1656" s="81" t="s">
        <v>233</v>
      </c>
      <c r="G1656" s="81" t="s">
        <v>63</v>
      </c>
      <c r="H1656" s="81">
        <v>1966</v>
      </c>
      <c r="I1656" s="81" t="s">
        <v>231</v>
      </c>
    </row>
    <row r="1657" spans="1:9" x14ac:dyDescent="0.3">
      <c r="A1657" s="23">
        <v>7</v>
      </c>
      <c r="B1657" s="23">
        <v>11</v>
      </c>
      <c r="C1657" s="81">
        <v>2520</v>
      </c>
      <c r="D1657" s="81">
        <v>1</v>
      </c>
      <c r="E1657" s="70">
        <v>1</v>
      </c>
      <c r="F1657" s="81" t="s">
        <v>233</v>
      </c>
      <c r="G1657" s="81" t="s">
        <v>63</v>
      </c>
      <c r="H1657" s="81">
        <v>1966</v>
      </c>
      <c r="I1657" s="81" t="s">
        <v>231</v>
      </c>
    </row>
    <row r="1658" spans="1:9" x14ac:dyDescent="0.3">
      <c r="A1658" s="23">
        <v>8</v>
      </c>
      <c r="B1658" s="23">
        <v>8</v>
      </c>
      <c r="C1658" s="81">
        <v>2520</v>
      </c>
      <c r="D1658" s="81">
        <v>1</v>
      </c>
      <c r="E1658" s="70">
        <v>1</v>
      </c>
      <c r="F1658" s="81" t="s">
        <v>233</v>
      </c>
      <c r="G1658" s="81" t="s">
        <v>63</v>
      </c>
      <c r="H1658" s="81">
        <v>1966</v>
      </c>
      <c r="I1658" s="81" t="s">
        <v>231</v>
      </c>
    </row>
    <row r="1659" spans="1:9" x14ac:dyDescent="0.3">
      <c r="A1659" s="23">
        <v>8</v>
      </c>
      <c r="B1659" s="23">
        <v>10</v>
      </c>
      <c r="C1659" s="81">
        <v>2520</v>
      </c>
      <c r="D1659" s="81">
        <v>1</v>
      </c>
      <c r="E1659" s="70">
        <v>1</v>
      </c>
      <c r="F1659" s="81" t="s">
        <v>233</v>
      </c>
      <c r="G1659" s="81" t="s">
        <v>63</v>
      </c>
      <c r="H1659" s="81">
        <v>1966</v>
      </c>
      <c r="I1659" s="81" t="s">
        <v>231</v>
      </c>
    </row>
    <row r="1660" spans="1:9" x14ac:dyDescent="0.3">
      <c r="A1660" s="23">
        <v>9</v>
      </c>
      <c r="B1660" s="23">
        <v>8</v>
      </c>
      <c r="C1660" s="81">
        <v>2520</v>
      </c>
      <c r="D1660" s="81">
        <v>2</v>
      </c>
      <c r="E1660" s="70">
        <v>1</v>
      </c>
      <c r="F1660" s="81" t="s">
        <v>233</v>
      </c>
      <c r="G1660" s="81" t="s">
        <v>63</v>
      </c>
      <c r="H1660" s="81">
        <v>1966</v>
      </c>
      <c r="I1660" s="81" t="s">
        <v>231</v>
      </c>
    </row>
    <row r="1661" spans="1:9" x14ac:dyDescent="0.3">
      <c r="A1661" s="23">
        <v>9</v>
      </c>
      <c r="B1661" s="23">
        <v>9</v>
      </c>
      <c r="C1661" s="81">
        <v>2520</v>
      </c>
      <c r="D1661" s="81">
        <v>2</v>
      </c>
      <c r="E1661" s="70">
        <v>1</v>
      </c>
      <c r="F1661" s="81" t="s">
        <v>233</v>
      </c>
      <c r="G1661" s="81" t="s">
        <v>63</v>
      </c>
      <c r="H1661" s="81">
        <v>1966</v>
      </c>
      <c r="I1661" s="81" t="s">
        <v>231</v>
      </c>
    </row>
    <row r="1662" spans="1:9" x14ac:dyDescent="0.3">
      <c r="A1662" s="23">
        <v>9</v>
      </c>
      <c r="B1662" s="23">
        <v>10</v>
      </c>
      <c r="C1662" s="81">
        <v>2520</v>
      </c>
      <c r="D1662" s="81">
        <v>1</v>
      </c>
      <c r="E1662" s="70">
        <v>1</v>
      </c>
      <c r="F1662" s="81" t="s">
        <v>233</v>
      </c>
      <c r="G1662" s="81" t="s">
        <v>63</v>
      </c>
      <c r="H1662" s="81">
        <v>1966</v>
      </c>
      <c r="I1662" s="81" t="s">
        <v>231</v>
      </c>
    </row>
    <row r="1663" spans="1:9" x14ac:dyDescent="0.3">
      <c r="A1663" s="23">
        <v>9</v>
      </c>
      <c r="B1663" s="23">
        <v>11</v>
      </c>
      <c r="C1663" s="81">
        <v>2520</v>
      </c>
      <c r="D1663" s="81">
        <v>2</v>
      </c>
      <c r="E1663" s="70">
        <v>1</v>
      </c>
      <c r="F1663" s="81" t="s">
        <v>233</v>
      </c>
      <c r="G1663" s="81" t="s">
        <v>63</v>
      </c>
      <c r="H1663" s="81">
        <v>1966</v>
      </c>
      <c r="I1663" s="81" t="s">
        <v>231</v>
      </c>
    </row>
    <row r="1664" spans="1:9" x14ac:dyDescent="0.3">
      <c r="A1664" s="23">
        <v>10</v>
      </c>
      <c r="B1664" s="23">
        <v>9</v>
      </c>
      <c r="C1664" s="81">
        <v>2520</v>
      </c>
      <c r="D1664" s="81">
        <v>1</v>
      </c>
      <c r="E1664" s="70">
        <v>1</v>
      </c>
      <c r="F1664" s="81" t="s">
        <v>233</v>
      </c>
      <c r="G1664" s="81" t="s">
        <v>63</v>
      </c>
      <c r="H1664" s="81">
        <v>1966</v>
      </c>
      <c r="I1664" s="81" t="s">
        <v>231</v>
      </c>
    </row>
    <row r="1665" spans="1:9" x14ac:dyDescent="0.3">
      <c r="A1665" s="23">
        <v>10</v>
      </c>
      <c r="B1665" s="23">
        <v>10</v>
      </c>
      <c r="C1665" s="81">
        <v>2520</v>
      </c>
      <c r="D1665" s="81">
        <v>2</v>
      </c>
      <c r="E1665" s="70">
        <v>1</v>
      </c>
      <c r="F1665" s="81" t="s">
        <v>233</v>
      </c>
      <c r="G1665" s="81" t="s">
        <v>63</v>
      </c>
      <c r="H1665" s="81">
        <v>1966</v>
      </c>
      <c r="I1665" s="81" t="s">
        <v>231</v>
      </c>
    </row>
  </sheetData>
  <sortState ref="A2:Y1884">
    <sortCondition ref="G2:G1884"/>
    <sortCondition ref="H2:H1884"/>
    <sortCondition ref="I2:I1884"/>
    <sortCondition ref="F2:F1884"/>
    <sortCondition ref="E2:E1884"/>
    <sortCondition ref="C2:C1884"/>
    <sortCondition ref="A2:A1884"/>
    <sortCondition ref="B2:B1884"/>
  </sortState>
  <conditionalFormatting sqref="E1:E1048576">
    <cfRule type="cellIs" dxfId="5" priority="4" operator="equal">
      <formula>3</formula>
    </cfRule>
    <cfRule type="cellIs" dxfId="4" priority="5" operator="equal">
      <formula>2</formula>
    </cfRule>
    <cfRule type="cellIs" dxfId="3" priority="6" operator="equal">
      <formula>1</formula>
    </cfRule>
  </conditionalFormatting>
  <conditionalFormatting sqref="F1:F1048576">
    <cfRule type="expression" dxfId="2" priority="1">
      <formula>$E1=3</formula>
    </cfRule>
    <cfRule type="expression" dxfId="1" priority="2">
      <formula>$E1=2</formula>
    </cfRule>
    <cfRule type="expression" dxfId="0" priority="3">
      <formula>$E1=1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calculators</vt:lpstr>
      <vt:lpstr>Events</vt:lpstr>
      <vt:lpstr>NAbSerum_dist</vt:lpstr>
      <vt:lpstr>Shed_titer_dist</vt:lpstr>
      <vt:lpstr>Shed_GMT_time</vt:lpstr>
      <vt:lpstr>Shed_dur_dist</vt:lpstr>
      <vt:lpstr>Shed_dur_cross_section</vt:lpstr>
      <vt:lpstr>Shed_titer_cross_section</vt:lpstr>
      <vt:lpstr>Individual_serorepsonse</vt:lpstr>
    </vt:vector>
  </TitlesOfParts>
  <Company>IV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mbehrend</dc:creator>
  <cp:lastModifiedBy>Mike Famulare</cp:lastModifiedBy>
  <cp:lastPrinted>2010-07-07T00:47:40Z</cp:lastPrinted>
  <dcterms:created xsi:type="dcterms:W3CDTF">2010-06-16T22:25:25Z</dcterms:created>
  <dcterms:modified xsi:type="dcterms:W3CDTF">2016-06-06T21:22:21Z</dcterms:modified>
</cp:coreProperties>
</file>