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esktop\WUFC F24\"/>
    </mc:Choice>
  </mc:AlternateContent>
  <xr:revisionPtr revIDLastSave="0" documentId="13_ncr:1_{0B106C43-4F5B-4696-9AAB-11D45DF9BC23}" xr6:coauthVersionLast="47" xr6:coauthVersionMax="47" xr10:uidLastSave="{00000000-0000-0000-0000-000000000000}"/>
  <bookViews>
    <workbookView xWindow="-98" yWindow="-98" windowWidth="11536" windowHeight="13065" firstSheet="1" activeTab="1" xr2:uid="{E8538598-609F-4D12-8D4A-EF9FF93B2713}"/>
  </bookViews>
  <sheets>
    <sheet name="Data Input" sheetId="1" r:id="rId1"/>
    <sheet name="Regression" sheetId="2" r:id="rId2"/>
    <sheet name="Shifted Geometric" sheetId="4" r:id="rId3"/>
    <sheet name="Shifted Geometric - Segmented" sheetId="5" r:id="rId4"/>
    <sheet name="Shifted Beta Geometric" sheetId="7" r:id="rId5"/>
    <sheet name="Sheet8" sheetId="8" r:id="rId6"/>
  </sheets>
  <definedNames>
    <definedName name="solver_adj" localSheetId="4" hidden="1">'Shifted Beta Geometric'!$F$5:$F$6</definedName>
    <definedName name="solver_adj" localSheetId="2" hidden="1">'Shifted Geometric'!$F$5</definedName>
    <definedName name="solver_adj" localSheetId="3" hidden="1">'Shifted Geometric - Segmented'!$F$5:$G$5,'Shifted Geometric - Segmented'!$F$6:$G$6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drv" localSheetId="4" hidden="1">2</definedName>
    <definedName name="solver_drv" localSheetId="2" hidden="1">2</definedName>
    <definedName name="solver_drv" localSheetId="3" hidden="1">2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lhs1" localSheetId="4" hidden="1">'Shifted Beta Geometric'!$F$5</definedName>
    <definedName name="solver_lhs1" localSheetId="2" hidden="1">'Shifted Geometric'!$F$5</definedName>
    <definedName name="solver_lhs1" localSheetId="3" hidden="1">'Shifted Geometric - Segmented'!$F$5:$G$5</definedName>
    <definedName name="solver_lhs2" localSheetId="4" hidden="1">'Shifted Beta Geometric'!$F$6</definedName>
    <definedName name="solver_lhs2" localSheetId="2" hidden="1">'Shifted Geometric'!$F$5</definedName>
    <definedName name="solver_lhs2" localSheetId="3" hidden="1">'Shifted Geometric - Segmented'!$F$5:$G$5</definedName>
    <definedName name="solver_lhs3" localSheetId="4" hidden="1">'Shifted Beta Geometric'!#REF!</definedName>
    <definedName name="solver_lhs3" localSheetId="3" hidden="1">'Shifted Geometric - Segmented'!$F$7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1" hidden="1">0</definedName>
    <definedName name="solver_num" localSheetId="4" hidden="1">2</definedName>
    <definedName name="solver_num" localSheetId="2" hidden="1">2</definedName>
    <definedName name="solver_num" localSheetId="3" hidden="1">3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1" hidden="1">Regression!$H$5</definedName>
    <definedName name="solver_opt" localSheetId="4" hidden="1">'Shifted Beta Geometric'!$F$7</definedName>
    <definedName name="solver_opt" localSheetId="2" hidden="1">'Shifted Geometric'!$F$6</definedName>
    <definedName name="solver_opt" localSheetId="3" hidden="1">'Shifted Geometric - Segmented'!$F$8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2</definedName>
    <definedName name="solver_rbv" localSheetId="2" hidden="1">2</definedName>
    <definedName name="solver_rbv" localSheetId="3" hidden="1">2</definedName>
    <definedName name="solver_rel1" localSheetId="4" hidden="1">3</definedName>
    <definedName name="solver_rel1" localSheetId="2" hidden="1">1</definedName>
    <definedName name="solver_rel1" localSheetId="3" hidden="1">1</definedName>
    <definedName name="solver_rel2" localSheetId="4" hidden="1">3</definedName>
    <definedName name="solver_rel2" localSheetId="2" hidden="1">3</definedName>
    <definedName name="solver_rel2" localSheetId="3" hidden="1">3</definedName>
    <definedName name="solver_rel3" localSheetId="4" hidden="1">2</definedName>
    <definedName name="solver_rel3" localSheetId="3" hidden="1">2</definedName>
    <definedName name="solver_rhs1" localSheetId="4" hidden="1">0.000001</definedName>
    <definedName name="solver_rhs1" localSheetId="2" hidden="1">1</definedName>
    <definedName name="solver_rhs1" localSheetId="3" hidden="1">1</definedName>
    <definedName name="solver_rhs2" localSheetId="4" hidden="1">0.000001</definedName>
    <definedName name="solver_rhs2" localSheetId="2" hidden="1">0.000001</definedName>
    <definedName name="solver_rhs2" localSheetId="3" hidden="1">0.001</definedName>
    <definedName name="solver_rhs3" localSheetId="4" hidden="1">1</definedName>
    <definedName name="solver_rhs3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2</definedName>
    <definedName name="solver_scl" localSheetId="2" hidden="1">2</definedName>
    <definedName name="solver_scl" localSheetId="3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4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F13" i="7"/>
  <c r="F14" i="7"/>
  <c r="F15" i="7"/>
  <c r="F16" i="7"/>
  <c r="F17" i="7"/>
  <c r="H18" i="7" s="1"/>
  <c r="F18" i="7"/>
  <c r="F19" i="7"/>
  <c r="F12" i="7"/>
  <c r="H13" i="7" s="1"/>
  <c r="F14" i="5"/>
  <c r="F15" i="5"/>
  <c r="F16" i="5"/>
  <c r="F17" i="5"/>
  <c r="F18" i="5"/>
  <c r="F19" i="5"/>
  <c r="F20" i="5"/>
  <c r="H20" i="5" s="1"/>
  <c r="F13" i="5"/>
  <c r="H14" i="5" s="1"/>
  <c r="F12" i="4"/>
  <c r="F13" i="4"/>
  <c r="F14" i="4"/>
  <c r="H14" i="4" s="1"/>
  <c r="F15" i="4"/>
  <c r="F16" i="4"/>
  <c r="F17" i="4"/>
  <c r="F18" i="4"/>
  <c r="F11" i="4"/>
  <c r="H12" i="4" s="1"/>
  <c r="B6" i="2"/>
  <c r="B7" i="2"/>
  <c r="B8" i="2"/>
  <c r="B9" i="2"/>
  <c r="B10" i="2"/>
  <c r="B11" i="2"/>
  <c r="B12" i="2"/>
  <c r="B5" i="2"/>
  <c r="L13" i="7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G13" i="7"/>
  <c r="G14" i="7" s="1"/>
  <c r="G15" i="7" s="1"/>
  <c r="G16" i="7" s="1"/>
  <c r="G17" i="7" s="1"/>
  <c r="G18" i="7" s="1"/>
  <c r="G19" i="7" s="1"/>
  <c r="H19" i="7"/>
  <c r="K13" i="7"/>
  <c r="D13" i="7"/>
  <c r="D14" i="7" s="1"/>
  <c r="N12" i="7"/>
  <c r="H12" i="7"/>
  <c r="F7" i="5"/>
  <c r="H19" i="5"/>
  <c r="K14" i="5"/>
  <c r="K15" i="5" s="1"/>
  <c r="L15" i="5" s="1" a="1"/>
  <c r="L15" i="5" s="1"/>
  <c r="D14" i="5"/>
  <c r="M13" i="5" s="1" a="1"/>
  <c r="M13" i="5" s="1"/>
  <c r="N13" i="5"/>
  <c r="H13" i="5"/>
  <c r="N11" i="4"/>
  <c r="M11" i="4"/>
  <c r="L12" i="4"/>
  <c r="M12" i="4" s="1"/>
  <c r="N12" i="4" s="1"/>
  <c r="K12" i="4"/>
  <c r="K13" i="4" s="1"/>
  <c r="H18" i="4"/>
  <c r="H11" i="4"/>
  <c r="D12" i="4"/>
  <c r="D13" i="4" s="1"/>
  <c r="D14" i="4" s="1"/>
  <c r="D15" i="4" s="1"/>
  <c r="D16" i="4" s="1"/>
  <c r="D17" i="4" s="1"/>
  <c r="D18" i="4" s="1"/>
  <c r="J6" i="2"/>
  <c r="J7" i="2"/>
  <c r="J8" i="2"/>
  <c r="J9" i="2"/>
  <c r="J10" i="2"/>
  <c r="J11" i="2"/>
  <c r="J12" i="2"/>
  <c r="J13" i="2"/>
  <c r="J14" i="2"/>
  <c r="J15" i="2"/>
  <c r="J16" i="2"/>
  <c r="J17" i="2"/>
  <c r="H6" i="2"/>
  <c r="H7" i="2"/>
  <c r="H8" i="2"/>
  <c r="H9" i="2"/>
  <c r="H10" i="2"/>
  <c r="H11" i="2"/>
  <c r="H12" i="2"/>
  <c r="H13" i="2"/>
  <c r="H14" i="2"/>
  <c r="H15" i="2"/>
  <c r="H16" i="2"/>
  <c r="H17" i="2"/>
  <c r="H5" i="2"/>
  <c r="I5" i="2"/>
  <c r="A6" i="2"/>
  <c r="L5" i="2" l="1" a="1"/>
  <c r="L5" i="2" s="1"/>
  <c r="H16" i="4"/>
  <c r="H18" i="5"/>
  <c r="H17" i="7"/>
  <c r="E3" i="2" a="1"/>
  <c r="E3" i="2" s="1"/>
  <c r="H16" i="5"/>
  <c r="H15" i="7"/>
  <c r="H17" i="4"/>
  <c r="H13" i="4"/>
  <c r="H15" i="5"/>
  <c r="H14" i="7"/>
  <c r="I14" i="7" s="1"/>
  <c r="H15" i="4"/>
  <c r="H16" i="7"/>
  <c r="H17" i="5"/>
  <c r="C9" i="2"/>
  <c r="C6" i="2"/>
  <c r="C10" i="2"/>
  <c r="C7" i="2"/>
  <c r="C11" i="2"/>
  <c r="C5" i="2"/>
  <c r="C8" i="2"/>
  <c r="C12" i="2"/>
  <c r="M13" i="7"/>
  <c r="N13" i="7" s="1"/>
  <c r="K14" i="7"/>
  <c r="D15" i="7"/>
  <c r="G14" i="5" a="1"/>
  <c r="G14" i="5" s="1"/>
  <c r="I14" i="5" s="1"/>
  <c r="L14" i="5" a="1"/>
  <c r="L14" i="5" s="1"/>
  <c r="M14" i="5" s="1"/>
  <c r="N14" i="5" s="1"/>
  <c r="M15" i="5"/>
  <c r="K16" i="5"/>
  <c r="L16" i="5" s="1" a="1"/>
  <c r="L16" i="5" s="1"/>
  <c r="D15" i="5"/>
  <c r="G15" i="5" s="1" a="1"/>
  <c r="G15" i="5" s="1"/>
  <c r="L13" i="4"/>
  <c r="M13" i="4" s="1"/>
  <c r="N13" i="4" s="1"/>
  <c r="K14" i="4"/>
  <c r="G16" i="4"/>
  <c r="G12" i="4"/>
  <c r="G15" i="4"/>
  <c r="G18" i="4"/>
  <c r="I18" i="4" s="1"/>
  <c r="G14" i="4"/>
  <c r="I14" i="4" s="1"/>
  <c r="G17" i="4"/>
  <c r="G13" i="4"/>
  <c r="I13" i="4" s="1"/>
  <c r="I6" i="2"/>
  <c r="A7" i="2"/>
  <c r="I16" i="4" l="1"/>
  <c r="I17" i="4"/>
  <c r="I15" i="4"/>
  <c r="K15" i="7"/>
  <c r="M14" i="7"/>
  <c r="N14" i="7" s="1"/>
  <c r="I13" i="7"/>
  <c r="D16" i="7"/>
  <c r="I15" i="7"/>
  <c r="N15" i="5"/>
  <c r="M16" i="5"/>
  <c r="K17" i="5"/>
  <c r="L17" i="5" s="1" a="1"/>
  <c r="L17" i="5" s="1"/>
  <c r="D16" i="5"/>
  <c r="G16" i="5" s="1" a="1"/>
  <c r="G16" i="5" s="1"/>
  <c r="I12" i="4"/>
  <c r="I19" i="4"/>
  <c r="K15" i="4"/>
  <c r="L14" i="4"/>
  <c r="M14" i="4" s="1"/>
  <c r="N14" i="4" s="1"/>
  <c r="I7" i="2"/>
  <c r="A8" i="2"/>
  <c r="I8" i="2" s="1"/>
  <c r="K16" i="7" l="1"/>
  <c r="M15" i="7"/>
  <c r="N15" i="7" s="1"/>
  <c r="I16" i="7"/>
  <c r="D17" i="7"/>
  <c r="N16" i="5"/>
  <c r="M17" i="5"/>
  <c r="K18" i="5"/>
  <c r="L18" i="5" s="1" a="1"/>
  <c r="L18" i="5" s="1"/>
  <c r="I16" i="5"/>
  <c r="D17" i="5"/>
  <c r="G17" i="5" s="1" a="1"/>
  <c r="G17" i="5" s="1"/>
  <c r="I15" i="5"/>
  <c r="F6" i="4"/>
  <c r="K16" i="4"/>
  <c r="L15" i="4"/>
  <c r="M15" i="4" s="1"/>
  <c r="N15" i="4" s="1"/>
  <c r="A9" i="2"/>
  <c r="K17" i="7" l="1"/>
  <c r="M16" i="7"/>
  <c r="N16" i="7" s="1"/>
  <c r="D18" i="7"/>
  <c r="I17" i="7"/>
  <c r="N17" i="5"/>
  <c r="M18" i="5"/>
  <c r="K19" i="5"/>
  <c r="L19" i="5" s="1" a="1"/>
  <c r="L19" i="5" s="1"/>
  <c r="I17" i="5"/>
  <c r="D18" i="5"/>
  <c r="G18" i="5" s="1" a="1"/>
  <c r="G18" i="5" s="1"/>
  <c r="K17" i="4"/>
  <c r="L16" i="4"/>
  <c r="M16" i="4" s="1"/>
  <c r="N16" i="4" s="1"/>
  <c r="I9" i="2"/>
  <c r="A10" i="2"/>
  <c r="M17" i="7" l="1"/>
  <c r="N17" i="7" s="1"/>
  <c r="K18" i="7"/>
  <c r="D19" i="7"/>
  <c r="I19" i="7" s="1"/>
  <c r="N18" i="5"/>
  <c r="M19" i="5"/>
  <c r="K20" i="5"/>
  <c r="L20" i="5" s="1" a="1"/>
  <c r="L20" i="5" s="1"/>
  <c r="I18" i="5"/>
  <c r="D19" i="5"/>
  <c r="G19" i="5" s="1" a="1"/>
  <c r="G19" i="5" s="1"/>
  <c r="K18" i="4"/>
  <c r="L17" i="4"/>
  <c r="M17" i="4" s="1"/>
  <c r="N17" i="4" s="1"/>
  <c r="I10" i="2"/>
  <c r="A11" i="2"/>
  <c r="C3" i="1"/>
  <c r="C4" i="1"/>
  <c r="C5" i="1"/>
  <c r="C6" i="1"/>
  <c r="C7" i="1"/>
  <c r="C8" i="1"/>
  <c r="C9" i="1"/>
  <c r="C2" i="1"/>
  <c r="A4" i="1"/>
  <c r="A5" i="1" s="1"/>
  <c r="A6" i="1" s="1"/>
  <c r="A7" i="1" s="1"/>
  <c r="A8" i="1" s="1"/>
  <c r="A9" i="1" s="1"/>
  <c r="A3" i="1"/>
  <c r="M18" i="7" l="1"/>
  <c r="N18" i="7" s="1"/>
  <c r="K19" i="7"/>
  <c r="I18" i="7"/>
  <c r="I20" i="7"/>
  <c r="N19" i="5"/>
  <c r="K21" i="5"/>
  <c r="L21" i="5" s="1" a="1"/>
  <c r="L21" i="5" s="1"/>
  <c r="M20" i="5"/>
  <c r="D20" i="5"/>
  <c r="I19" i="5"/>
  <c r="K19" i="4"/>
  <c r="L18" i="4"/>
  <c r="M18" i="4" s="1"/>
  <c r="N18" i="4" s="1"/>
  <c r="I11" i="2"/>
  <c r="A12" i="2"/>
  <c r="F7" i="7" l="1"/>
  <c r="M19" i="7"/>
  <c r="N19" i="7" s="1"/>
  <c r="K20" i="7"/>
  <c r="N20" i="5"/>
  <c r="G20" i="5" a="1"/>
  <c r="G20" i="5" s="1"/>
  <c r="I20" i="5" s="1"/>
  <c r="M21" i="5"/>
  <c r="K22" i="5"/>
  <c r="L22" i="5" s="1" a="1"/>
  <c r="L22" i="5" s="1"/>
  <c r="K20" i="4"/>
  <c r="L19" i="4"/>
  <c r="M19" i="4" s="1"/>
  <c r="N19" i="4" s="1"/>
  <c r="I12" i="2"/>
  <c r="I3" i="2" s="1" a="1"/>
  <c r="I3" i="2" s="1"/>
  <c r="A13" i="2"/>
  <c r="I13" i="2" s="1"/>
  <c r="M20" i="7" l="1"/>
  <c r="N20" i="7" s="1"/>
  <c r="K21" i="7"/>
  <c r="N21" i="5"/>
  <c r="I21" i="5"/>
  <c r="F8" i="5" s="1"/>
  <c r="M22" i="5"/>
  <c r="K23" i="5"/>
  <c r="L23" i="5" s="1" a="1"/>
  <c r="L23" i="5" s="1"/>
  <c r="K21" i="4"/>
  <c r="L20" i="4"/>
  <c r="M20" i="4" s="1"/>
  <c r="N20" i="4" s="1"/>
  <c r="E9" i="2"/>
  <c r="A14" i="2"/>
  <c r="I14" i="2" s="1"/>
  <c r="E8" i="2" l="1"/>
  <c r="E5" i="2"/>
  <c r="E10" i="2"/>
  <c r="E7" i="2"/>
  <c r="E6" i="2"/>
  <c r="K22" i="7"/>
  <c r="M21" i="7"/>
  <c r="N21" i="7" s="1"/>
  <c r="N22" i="5"/>
  <c r="M23" i="5"/>
  <c r="K24" i="5"/>
  <c r="L24" i="5" s="1" a="1"/>
  <c r="L24" i="5" s="1"/>
  <c r="K22" i="4"/>
  <c r="L21" i="4"/>
  <c r="M21" i="4" s="1"/>
  <c r="N21" i="4" s="1"/>
  <c r="E13" i="2"/>
  <c r="E11" i="2"/>
  <c r="E12" i="2"/>
  <c r="E14" i="2"/>
  <c r="A15" i="2"/>
  <c r="M22" i="7" l="1"/>
  <c r="N22" i="7" s="1"/>
  <c r="K23" i="7"/>
  <c r="N23" i="5"/>
  <c r="M24" i="5"/>
  <c r="K25" i="5"/>
  <c r="L25" i="5" s="1" a="1"/>
  <c r="L25" i="5" s="1"/>
  <c r="K23" i="4"/>
  <c r="L22" i="4"/>
  <c r="M22" i="4" s="1"/>
  <c r="N22" i="4" s="1"/>
  <c r="I15" i="2"/>
  <c r="E15" i="2"/>
  <c r="A16" i="2"/>
  <c r="K24" i="7" l="1"/>
  <c r="M23" i="7"/>
  <c r="N23" i="7" s="1"/>
  <c r="N24" i="5"/>
  <c r="M25" i="5"/>
  <c r="K26" i="5"/>
  <c r="K24" i="4"/>
  <c r="L24" i="4" s="1"/>
  <c r="M24" i="4" s="1"/>
  <c r="L23" i="4"/>
  <c r="M23" i="4" s="1"/>
  <c r="N23" i="4" s="1"/>
  <c r="I16" i="2"/>
  <c r="E16" i="2"/>
  <c r="A17" i="2"/>
  <c r="K25" i="7" l="1"/>
  <c r="M25" i="7" s="1"/>
  <c r="M24" i="7"/>
  <c r="N24" i="7" s="1"/>
  <c r="N25" i="5"/>
  <c r="L26" i="5" a="1"/>
  <c r="L26" i="5" s="1"/>
  <c r="M26" i="5" s="1"/>
  <c r="N24" i="4"/>
  <c r="I17" i="2"/>
  <c r="E17" i="2"/>
  <c r="N25" i="7" l="1"/>
  <c r="N2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<sst xmlns="http://schemas.openxmlformats.org/spreadsheetml/2006/main" count="104" uniqueCount="61">
  <si>
    <t>Year</t>
  </si>
  <si>
    <t># Customers</t>
  </si>
  <si>
    <t>% Alive</t>
  </si>
  <si>
    <t>Actual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</si>
  <si>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</si>
  <si>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</si>
  <si>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</si>
  <si>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</si>
  <si>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</si>
  <si>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</si>
  <si>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</si>
  <si>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</si>
  <si>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</si>
  <si>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</si>
  <si>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</si>
  <si>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</si>
  <si>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</si>
  <si>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</si>
  <si>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</si>
  <si>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</si>
  <si>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</si>
  <si>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</si>
  <si>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</si>
  <si>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</si>
  <si>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</si>
  <si>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</si>
  <si>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</si>
  <si>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</si>
  <si>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Linear Regression</t>
  </si>
  <si>
    <t>Input</t>
  </si>
  <si>
    <t>Linear - Predicted</t>
  </si>
  <si>
    <t>X^2</t>
  </si>
  <si>
    <t>Quadratic</t>
  </si>
  <si>
    <t>Exponential</t>
  </si>
  <si>
    <t>Time</t>
  </si>
  <si>
    <t>X</t>
  </si>
  <si>
    <t>Quadratic - Predicted</t>
  </si>
  <si>
    <t>Exponential - Predicted</t>
  </si>
  <si>
    <t>x</t>
  </si>
  <si>
    <t>Theta</t>
  </si>
  <si>
    <t>LL</t>
  </si>
  <si>
    <t>Model</t>
  </si>
  <si>
    <t>P(T=t)</t>
  </si>
  <si>
    <t># customers</t>
  </si>
  <si>
    <t># churned</t>
  </si>
  <si>
    <t>P(T = t)</t>
  </si>
  <si>
    <t>Log-Likelihood</t>
  </si>
  <si>
    <t>Modelling on Observed Data</t>
  </si>
  <si>
    <t>Prediction</t>
  </si>
  <si>
    <t># Churned</t>
  </si>
  <si>
    <t>Model Parameters</t>
  </si>
  <si>
    <t>Number of customers</t>
  </si>
  <si>
    <t>Thetas</t>
  </si>
  <si>
    <t>Proportion</t>
  </si>
  <si>
    <t>Sum</t>
  </si>
  <si>
    <t>Shifted Beta Geometric</t>
  </si>
  <si>
    <t>Shifted Geometric Model with segments</t>
  </si>
  <si>
    <t>Shifted Geometric Model</t>
  </si>
  <si>
    <t>Alpha</t>
  </si>
  <si>
    <t>Beta</t>
  </si>
  <si>
    <t>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</si>
</sst>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Continuous"/>
    </xf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Regression!$B$4</c:f>
              <c:strCache>
                <c:ptCount val="1"/>
                <c:pt idx="0">
                  <c:v>Actual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Regression!$A$5:$A$17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Regression!$B$5:$B$12</c:f>
              <c:numCache>
                <c:formatCode>General</c:formatCode>
                <c:ptCount val="8"/>
                <c:pt idx="0">
                  <c:v>1000</c:v>
                </c:pt>
                <c:pt idx="1">
                  <c:v>869</c:v>
                </c:pt>
                <c:pt idx="2">
                  <c:v>743</c:v>
                </c:pt>
                <c:pt idx="3">
                  <c:v>653</c:v>
                </c:pt>
                <c:pt idx="4">
                  <c:v>593</c:v>
                </c:pt>
                <c:pt idx="5">
                  <c:v>551</c:v>
                </c:pt>
                <c:pt idx="6">
                  <c:v>517</c:v>
                </c:pt>
                <c:pt idx="7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88-428A-AAC3-6A297CEE55FC}"/>
            </c:ext>
          </c:extLst>
        </c:ser>
        <c:ser>
          <c:idx val="1"/>
          <c:order val="1"/>
          <c:tx>
            <c:strRef>
              <c:f>Regression!$E$4</c:f>
              <c:strCache>
                <c:ptCount val="1"/>
                <c:pt idx="0">
                  <c:v>Linear - Predicted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Regression!$A$5:$A$17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Regression!$E$5:$E$17</c:f>
              <c:numCache>
                <c:formatCode>General</c:formatCode>
                <c:ptCount val="13"/>
                <c:pt idx="0">
                  <c:v>925.41666666666663</c:v>
                </c:pt>
                <c:pt idx="1">
                  <c:v>854.47619047619048</c:v>
                </c:pt>
                <c:pt idx="2">
                  <c:v>783.53571428571422</c:v>
                </c:pt>
                <c:pt idx="3">
                  <c:v>712.59523809523807</c:v>
                </c:pt>
                <c:pt idx="4">
                  <c:v>641.65476190476193</c:v>
                </c:pt>
                <c:pt idx="5">
                  <c:v>570.71428571428567</c:v>
                </c:pt>
                <c:pt idx="6">
                  <c:v>499.77380952380952</c:v>
                </c:pt>
                <c:pt idx="7">
                  <c:v>428.83333333333331</c:v>
                </c:pt>
                <c:pt idx="8">
                  <c:v>357.89285714285711</c:v>
                </c:pt>
                <c:pt idx="9">
                  <c:v>286.95238095238096</c:v>
                </c:pt>
                <c:pt idx="10">
                  <c:v>216.0119047619047</c:v>
                </c:pt>
                <c:pt idx="11">
                  <c:v>145.07142857142856</c:v>
                </c:pt>
                <c:pt idx="12">
                  <c:v>74.130952380952408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88-428A-AAC3-6A297CEE55FC}"/>
            </c:ext>
          </c:extLst>
        </c:ser>
        <c:ser>
          <c:idx val="2"/>
          <c:order val="2"/>
          <c:tx>
            <c:strRef>
              <c:f>Regression!$J$4</c:f>
              <c:strCache>
                <c:ptCount val="1"/>
                <c:pt idx="0">
                  <c:v>Quadratic - Predicted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Regression!$A$5:$A$17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Regression!$J$5:$J$17</c:f>
              <c:numCache>
                <c:formatCode>General</c:formatCode>
                <c:ptCount val="13"/>
                <c:pt idx="0">
                  <c:v>827.6399371069183</c:v>
                </c:pt>
                <c:pt idx="1">
                  <c:v>819.03908355795159</c:v>
                </c:pt>
                <c:pt idx="2">
                  <c:v>793.23652291105122</c:v>
                </c:pt>
                <c:pt idx="3">
                  <c:v>750.23225516621733</c:v>
                </c:pt>
                <c:pt idx="4">
                  <c:v>690.02628032345012</c:v>
                </c:pt>
                <c:pt idx="5">
                  <c:v>612.61859838274927</c:v>
                </c:pt>
                <c:pt idx="6">
                  <c:v>518.00920934411499</c:v>
                </c:pt>
                <c:pt idx="7">
                  <c:v>406.19811320754707</c:v>
                </c:pt>
                <c:pt idx="8">
                  <c:v>277.18530997304572</c:v>
                </c:pt>
                <c:pt idx="9">
                  <c:v>130.97079964061084</c:v>
                </c:pt>
                <c:pt idx="10">
                  <c:v>-32.445417789757471</c:v>
                </c:pt>
                <c:pt idx="11">
                  <c:v>-213.06334231805943</c:v>
                </c:pt>
                <c:pt idx="12">
                  <c:v>-410.8829739442948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88-428A-AAC3-6A297CEE55FC}"/>
            </c:ext>
          </c:extLst>
        </c:ser>
        <c:ser>
          <c:idx val="3"/>
          <c:order val="3"/>
          <c:tx>
            <c:strRef>
              <c:f>Regression!$L$4</c:f>
              <c:strCache>
                <c:ptCount val="1"/>
                <c:pt idx="0">
                  <c:v>Exponential - Predicted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none"/>
          </c:marker>
          <c:cat>
            <c:numRef>
              <c:f>Regression!$A$5:$A$17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Regression!$L$5:$L$17</c:f>
              <c:numCache>
                <c:formatCode>General</c:formatCode>
                <c:ptCount val="13"/>
                <c:pt idx="0">
                  <c:v>939.77255178394955</c:v>
                </c:pt>
                <c:pt idx="1">
                  <c:v>848.63283136733833</c:v>
                </c:pt>
                <c:pt idx="2">
                  <c:v>766.33189712494573</c:v>
                </c:pt>
                <c:pt idx="3">
                  <c:v>692.01255813412638</c:v>
                </c:pt>
                <c:pt idx="4">
                  <c:v>624.90075437543589</c:v>
                </c:pt>
                <c:pt idx="5">
                  <c:v>564.29749464647978</c:v>
                </c:pt>
                <c:pt idx="6">
                  <c:v>509.57157634183676</c:v>
                </c:pt>
                <c:pt idx="7">
                  <c:v>460.15301127320748</c:v>
                </c:pt>
                <c:pt idx="8">
                  <c:v>415.52708905756987</c:v>
                </c:pt>
                <c:pt idx="9">
                  <c:v>375.22901624160448</c:v>
                </c:pt>
                <c:pt idx="10">
                  <c:v>338.83907532713312</c:v>
                </c:pt>
                <c:pt idx="11">
                  <c:v>305.97825327724894</c:v>
                </c:pt>
                <c:pt idx="12">
                  <c:v>276.30429397261224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88-428A-AAC3-6A297CEE5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873007"/>
        <c:axId val="1956692191"/>
      </c:lineChart>
      <c:catAx>
        <c:axId val="208787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92191"/>
        <c:crosses val="autoZero"/>
        <c:auto val="1"/>
        <c:lblAlgn val="ctr"/>
        <c:lblOffset val="100"/>
        <c:noMultiLvlLbl val="0"/>
      </c:catAx>
      <c:valAx>
        <c:axId val="19566921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7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Shifted Geometric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'Shifted Geometric'!$K$11:$K$23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'Shifted Geometric'!$F$11:$F$18</c:f>
              <c:numCache>
                <c:formatCode>General</c:formatCode>
                <c:ptCount val="8"/>
                <c:pt idx="0">
                  <c:v>1000</c:v>
                </c:pt>
                <c:pt idx="1">
                  <c:v>869</c:v>
                </c:pt>
                <c:pt idx="2">
                  <c:v>743</c:v>
                </c:pt>
                <c:pt idx="3">
                  <c:v>653</c:v>
                </c:pt>
                <c:pt idx="4">
                  <c:v>593</c:v>
                </c:pt>
                <c:pt idx="5">
                  <c:v>551</c:v>
                </c:pt>
                <c:pt idx="6">
                  <c:v>517</c:v>
                </c:pt>
                <c:pt idx="7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A8-4A45-9FC1-5B8FD3C5FE58}"/>
            </c:ext>
          </c:extLst>
        </c:ser>
        <c:ser>
          <c:idx val="1"/>
          <c:order val="1"/>
          <c:tx>
            <c:v>Shifted Beta - Predicted</c:v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'Shifted Geometric'!$N$11:$N$24</c:f>
              <c:numCache>
                <c:formatCode>General</c:formatCode>
                <c:ptCount val="14"/>
                <c:pt idx="0">
                  <c:v>1000</c:v>
                </c:pt>
                <c:pt idx="1">
                  <c:v>896.67072669706636</c:v>
                </c:pt>
                <c:pt idx="2">
                  <c:v>804.01839211544507</c:v>
                </c:pt>
                <c:pt idx="3">
                  <c:v>720.93975593596303</c:v>
                </c:pt>
                <c:pt idx="4">
                  <c:v>646.44557485990572</c:v>
                </c:pt>
                <c:pt idx="5">
                  <c:v>579.64882337973449</c:v>
                </c:pt>
                <c:pt idx="6">
                  <c:v>519.75413168900604</c:v>
                </c:pt>
                <c:pt idx="7">
                  <c:v>466.04831496538378</c:v>
                </c:pt>
                <c:pt idx="8">
                  <c:v>417.89188125595399</c:v>
                </c:pt>
                <c:pt idx="9">
                  <c:v>374.71141684658045</c:v>
                </c:pt>
                <c:pt idx="10">
                  <c:v>335.99275844551067</c:v>
                </c:pt>
                <c:pt idx="11">
                  <c:v>301.27487088028795</c:v>
                </c:pt>
                <c:pt idx="12">
                  <c:v>270.14435740779265</c:v>
                </c:pt>
                <c:pt idx="13">
                  <c:v>242.23053726995747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A8-4A45-9FC1-5B8FD3C5F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873007"/>
        <c:axId val="1956692191"/>
      </c:lineChart>
      <c:catAx>
        <c:axId val="208787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92191"/>
        <c:crosses val="autoZero"/>
        <c:auto val="1"/>
        <c:lblAlgn val="ctr"/>
        <c:lblOffset val="100"/>
        <c:noMultiLvlLbl val="0"/>
      </c:catAx>
      <c:valAx>
        <c:axId val="19566921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7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Shifted Geometric - With segments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'Shifted Geometric - Segmented'!$K$13:$K$25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'Shifted Geometric - Segmented'!$F$13:$F$20</c:f>
              <c:numCache>
                <c:formatCode>General</c:formatCode>
                <c:ptCount val="8"/>
                <c:pt idx="0">
                  <c:v>1000</c:v>
                </c:pt>
                <c:pt idx="1">
                  <c:v>869</c:v>
                </c:pt>
                <c:pt idx="2">
                  <c:v>743</c:v>
                </c:pt>
                <c:pt idx="3">
                  <c:v>653</c:v>
                </c:pt>
                <c:pt idx="4">
                  <c:v>593</c:v>
                </c:pt>
                <c:pt idx="5">
                  <c:v>551</c:v>
                </c:pt>
                <c:pt idx="6">
                  <c:v>517</c:v>
                </c:pt>
                <c:pt idx="7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17-408B-9D3B-C00AF7D75C58}"/>
            </c:ext>
          </c:extLst>
        </c:ser>
        <c:ser>
          <c:idx val="1"/>
          <c:order val="1"/>
          <c:tx>
            <c:v>Shifted Beta - Predicted</c:v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'Shifted Geometric - Segmented'!$N$13:$N$26</c:f>
              <c:numCache>
                <c:formatCode>General</c:formatCode>
                <c:ptCount val="14"/>
                <c:pt idx="0">
                  <c:v>1000</c:v>
                </c:pt>
                <c:pt idx="1">
                  <c:v>853.37749337318678</c:v>
                </c:pt>
                <c:pt idx="2">
                  <c:v>743.37967419915412</c:v>
                </c:pt>
                <c:pt idx="3">
                  <c:v>660.83225594793021</c:v>
                </c:pt>
                <c:pt idx="4">
                  <c:v>598.85908726452703</c:v>
                </c:pt>
                <c:pt idx="5">
                  <c:v>552.30647499362385</c:v>
                </c:pt>
                <c:pt idx="6">
                  <c:v>517.31171281216075</c:v>
                </c:pt>
                <c:pt idx="7">
                  <c:v>490.97969233439676</c:v>
                </c:pt>
                <c:pt idx="8">
                  <c:v>471.1405223068968</c:v>
                </c:pt>
                <c:pt idx="9">
                  <c:v>456.16786357439622</c:v>
                </c:pt>
                <c:pt idx="10">
                  <c:v>444.84277067144149</c:v>
                </c:pt>
                <c:pt idx="11">
                  <c:v>436.25164074659961</c:v>
                </c:pt>
                <c:pt idx="12">
                  <c:v>429.70972601978337</c:v>
                </c:pt>
                <c:pt idx="13">
                  <c:v>424.70380617311883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17-408B-9D3B-C00AF7D75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873007"/>
        <c:axId val="1956692191"/>
      </c:lineChart>
      <c:catAx>
        <c:axId val="208787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92191"/>
        <c:crosses val="autoZero"/>
        <c:auto val="1"/>
        <c:lblAlgn val="ctr"/>
        <c:lblOffset val="100"/>
        <c:noMultiLvlLbl val="0"/>
      </c:catAx>
      <c:valAx>
        <c:axId val="1956692191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7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Shifted</a:t>
            </a:r>
            <a:r>
              <a:rPr lang="en-US" baseline="0"/>
              <a:t> Beta Geometric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Actual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'Shifted Beta Geometric'!$K$12:$K$24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'Shifted Beta Geometric'!$F$12:$F$19</c:f>
              <c:numCache>
                <c:formatCode>General</c:formatCode>
                <c:ptCount val="8"/>
                <c:pt idx="0">
                  <c:v>1000</c:v>
                </c:pt>
                <c:pt idx="1">
                  <c:v>869</c:v>
                </c:pt>
                <c:pt idx="2">
                  <c:v>743</c:v>
                </c:pt>
                <c:pt idx="3">
                  <c:v>653</c:v>
                </c:pt>
                <c:pt idx="4">
                  <c:v>593</c:v>
                </c:pt>
                <c:pt idx="5">
                  <c:v>551</c:v>
                </c:pt>
                <c:pt idx="6">
                  <c:v>517</c:v>
                </c:pt>
                <c:pt idx="7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90-4C78-B2C8-D4C39248E1A4}"/>
            </c:ext>
          </c:extLst>
        </c:ser>
        <c:ser>
          <c:idx val="3"/>
          <c:order val="1"/>
          <c:tx>
            <c:v>Shifted Beta - Predicted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Ref>
              <c:f>'Shifted Beta Geometric'!$N$12:$N$25</c:f>
              <c:numCache>
                <c:formatCode>General</c:formatCode>
                <c:ptCount val="14"/>
                <c:pt idx="0">
                  <c:v>1000</c:v>
                </c:pt>
                <c:pt idx="1">
                  <c:v>850.67926260290346</c:v>
                </c:pt>
                <c:pt idx="2">
                  <c:v>746.85940976632889</c:v>
                </c:pt>
                <c:pt idx="3">
                  <c:v>669.78898291056191</c:v>
                </c:pt>
                <c:pt idx="4">
                  <c:v>609.91913516485579</c:v>
                </c:pt>
                <c:pt idx="5">
                  <c:v>561.83428096726334</c:v>
                </c:pt>
                <c:pt idx="6">
                  <c:v>522.2155691841765</c:v>
                </c:pt>
                <c:pt idx="7">
                  <c:v>488.90641965131147</c:v>
                </c:pt>
                <c:pt idx="8">
                  <c:v>460.43967177949594</c:v>
                </c:pt>
                <c:pt idx="9">
                  <c:v>435.77958999028766</c:v>
                </c:pt>
                <c:pt idx="10">
                  <c:v>414.17239788035073</c:v>
                </c:pt>
                <c:pt idx="11">
                  <c:v>395.055343188157</c:v>
                </c:pt>
                <c:pt idx="12">
                  <c:v>377.99907164638472</c:v>
                </c:pt>
                <c:pt idx="13">
                  <c:v>362.66982761965193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90-4C78-B2C8-D4C39248E1A4}"/>
            </c:ext>
          </c:extLst>
        </c:ser>
        <c:ser>
          <c:idx val="0"/>
          <c:order val="2"/>
          <c:tx>
            <c:v>Actual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'Shifted Beta Geometric'!$K$12:$K$24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'Shifted Beta Geometric'!$F$12:$F$19</c:f>
              <c:numCache>
                <c:formatCode>General</c:formatCode>
                <c:ptCount val="8"/>
                <c:pt idx="0">
                  <c:v>1000</c:v>
                </c:pt>
                <c:pt idx="1">
                  <c:v>869</c:v>
                </c:pt>
                <c:pt idx="2">
                  <c:v>743</c:v>
                </c:pt>
                <c:pt idx="3">
                  <c:v>653</c:v>
                </c:pt>
                <c:pt idx="4">
                  <c:v>593</c:v>
                </c:pt>
                <c:pt idx="5">
                  <c:v>551</c:v>
                </c:pt>
                <c:pt idx="6">
                  <c:v>517</c:v>
                </c:pt>
                <c:pt idx="7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90-4C78-B2C8-D4C39248E1A4}"/>
            </c:ext>
          </c:extLst>
        </c:ser>
        <c:ser>
          <c:idx val="1"/>
          <c:order val="3"/>
          <c:tx>
            <c:v>Shifted Beta - Predicted</c:v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'Shifted Beta Geometric'!$N$12:$N$25</c:f>
              <c:numCache>
                <c:formatCode>General</c:formatCode>
                <c:ptCount val="14"/>
                <c:pt idx="0">
                  <c:v>1000</c:v>
                </c:pt>
                <c:pt idx="1">
                  <c:v>850.67926260290346</c:v>
                </c:pt>
                <c:pt idx="2">
                  <c:v>746.85940976632889</c:v>
                </c:pt>
                <c:pt idx="3">
                  <c:v>669.78898291056191</c:v>
                </c:pt>
                <c:pt idx="4">
                  <c:v>609.91913516485579</c:v>
                </c:pt>
                <c:pt idx="5">
                  <c:v>561.83428096726334</c:v>
                </c:pt>
                <c:pt idx="6">
                  <c:v>522.2155691841765</c:v>
                </c:pt>
                <c:pt idx="7">
                  <c:v>488.90641965131147</c:v>
                </c:pt>
                <c:pt idx="8">
                  <c:v>460.43967177949594</c:v>
                </c:pt>
                <c:pt idx="9">
                  <c:v>435.77958999028766</c:v>
                </c:pt>
                <c:pt idx="10">
                  <c:v>414.17239788035073</c:v>
                </c:pt>
                <c:pt idx="11">
                  <c:v>395.055343188157</c:v>
                </c:pt>
                <c:pt idx="12">
                  <c:v>377.99907164638472</c:v>
                </c:pt>
                <c:pt idx="13">
                  <c:v>362.66982761965193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90-4C78-B2C8-D4C39248E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873007"/>
        <c:axId val="1956692191"/>
      </c:lineChart>
      <c:catAx>
        <c:axId val="208787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92191"/>
        <c:crosses val="autoZero"/>
        <c:auto val="1"/>
        <c:lblAlgn val="ctr"/>
        <c:lblOffset val="100"/>
        <c:noMultiLvlLbl val="0"/>
      </c:catAx>
      <c:valAx>
        <c:axId val="1956692191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7300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Retention Rate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'Shifted Beta Geometric'!$O$11</c:f>
              <c:strCache>
                <c:ptCount val="1"/>
                <c:pt idx="0">
                  <c:v>Retention rate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'Shifted Beta Geometric'!$K$12:$K$25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'Shifted Beta Geometric'!$O$12:$O$25</c:f>
              <c:numCache>
                <c:formatCode>General</c:formatCode>
                <c:ptCount val="14"/>
                <c:pt idx="1">
                  <c:v>0.85067926260290339</c:v>
                </c:pt>
                <c:pt idx="2">
                  <c:v>0.87795652556651338</c:v>
                </c:pt>
                <c:pt idx="3">
                  <c:v>0.89680731627940502</c:v>
                </c:pt>
                <c:pt idx="4">
                  <c:v>0.91061386604846462</c:v>
                </c:pt>
                <c:pt idx="5">
                  <c:v>0.92116191897374156</c:v>
                </c:pt>
                <c:pt idx="6">
                  <c:v>0.92948327803195185</c:v>
                </c:pt>
                <c:pt idx="7">
                  <c:v>0.93621570956817368</c:v>
                </c:pt>
                <c:pt idx="8">
                  <c:v>0.94177464903791197</c:v>
                </c:pt>
                <c:pt idx="9">
                  <c:v>0.9464423174182568</c:v>
                </c:pt>
                <c:pt idx="10">
                  <c:v>0.95041715443713537</c:v>
                </c:pt>
                <c:pt idx="11">
                  <c:v>0.95384276018867775</c:v>
                </c:pt>
                <c:pt idx="12">
                  <c:v>0.9568256148515154</c:v>
                </c:pt>
                <c:pt idx="13">
                  <c:v>0.95944634477548874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25-480B-8C4D-99BA69539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873007"/>
        <c:axId val="1956692191"/>
      </c:lineChart>
      <c:catAx>
        <c:axId val="208787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92191"/>
        <c:crosses val="autoZero"/>
        <c:auto val="1"/>
        <c:lblAlgn val="ctr"/>
        <c:lblOffset val="100"/>
        <c:noMultiLvlLbl val="0"/>
      </c:catAx>
      <c:valAx>
        <c:axId val="19566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7300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250031</xdr:colOff>
      <xdr:row>18</xdr:row>
      <xdr:rowOff>123826</xdr:rowOff>
    </xdr:from>
    <xdr:to>
      <xdr:col>7</xdr:col>
      <xdr:colOff>831055</xdr:colOff>
      <xdr:row>38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ED6063-4A4F-8518-C7C7-F6400D13B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7215</xdr:colOff>
      <xdr:row>25</xdr:row>
      <xdr:rowOff>173182</xdr:rowOff>
    </xdr:from>
    <xdr:to>
      <xdr:col>10</xdr:col>
      <xdr:colOff>93807</xdr:colOff>
      <xdr:row>45</xdr:row>
      <xdr:rowOff>99003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400510-1FA9-4241-96D7-A84737ADA3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7215</xdr:colOff>
      <xdr:row>27</xdr:row>
      <xdr:rowOff>173182</xdr:rowOff>
    </xdr:from>
    <xdr:to>
      <xdr:col>10</xdr:col>
      <xdr:colOff>93807</xdr:colOff>
      <xdr:row>47</xdr:row>
      <xdr:rowOff>99003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CFF74-6C60-4A8F-B98D-EAB733DA01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43071</xdr:colOff>
      <xdr:row>25</xdr:row>
      <xdr:rowOff>44244</xdr:rowOff>
    </xdr:from>
    <xdr:to>
      <xdr:col>10</xdr:col>
      <xdr:colOff>129663</xdr:colOff>
      <xdr:row>44</xdr:row>
      <xdr:rowOff>154422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F07FE-AEFD-476A-AF7E-AA2E6B1F0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158294</xdr:colOff>
      <xdr:row>25</xdr:row>
      <xdr:rowOff>55416</xdr:rowOff>
    </xdr:from>
    <xdr:to>
      <xdr:col>15</xdr:col>
      <xdr:colOff>237204</xdr:colOff>
      <xdr:row>44</xdr:row>
      <xdr:rowOff>165594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E0A68F-1F57-495B-BA75-9EBF02C8C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9F0D-1D57-49D3-A895-317E4470B01C}">
  <dimension ref="A1:C9"/>
  <sheetViews>
    <sheetView zoomScale="200" zoomScaleNormal="200" workbookViewId="0">
      <selection activeCell="B8" sqref="B8"/>
    </sheetView>
  </sheetViews>
  <sheetFormatPr defaultRowHeight="14.25" x14ac:dyDescent="0.45"/>
  <cols>
    <col min="1" max="3" width="11.929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0</v>
      </c>
      <c r="B2" s="1">
        <v>1000</v>
      </c>
      <c r="C2" s="2">
        <f t="shared" ref="C2:C9" si="0">B2/$B$2</f>
        <v>1</v>
      </c>
    </row>
    <row r="3" spans="1:3" x14ac:dyDescent="0.45">
      <c r="A3" s="1">
        <f>A2+1</f>
        <v>1</v>
      </c>
      <c r="B3" s="1">
        <v>869</v>
      </c>
      <c r="C3" s="2">
        <f t="shared" si="0"/>
        <v>0.86899999999999999</v>
      </c>
    </row>
    <row r="4" spans="1:3" x14ac:dyDescent="0.45">
      <c r="A4" s="1">
        <f t="shared" ref="A4:A9" si="1">A3+1</f>
        <v>2</v>
      </c>
      <c r="B4" s="1">
        <v>743</v>
      </c>
      <c r="C4" s="2">
        <f t="shared" si="0"/>
        <v>0.74299999999999999</v>
      </c>
    </row>
    <row r="5" spans="1:3" x14ac:dyDescent="0.45">
      <c r="A5" s="1">
        <f t="shared" si="1"/>
        <v>3</v>
      </c>
      <c r="B5" s="1">
        <v>653</v>
      </c>
      <c r="C5" s="2">
        <f t="shared" si="0"/>
        <v>0.65300000000000002</v>
      </c>
    </row>
    <row r="6" spans="1:3" x14ac:dyDescent="0.45">
      <c r="A6" s="1">
        <f t="shared" si="1"/>
        <v>4</v>
      </c>
      <c r="B6" s="1">
        <v>593</v>
      </c>
      <c r="C6" s="2">
        <f t="shared" si="0"/>
        <v>0.59299999999999997</v>
      </c>
    </row>
    <row r="7" spans="1:3" x14ac:dyDescent="0.45">
      <c r="A7" s="1">
        <f t="shared" si="1"/>
        <v>5</v>
      </c>
      <c r="B7" s="1">
        <v>551</v>
      </c>
      <c r="C7" s="2">
        <f t="shared" si="0"/>
        <v>0.55100000000000005</v>
      </c>
    </row>
    <row r="8" spans="1:3" x14ac:dyDescent="0.45">
      <c r="A8" s="1">
        <f t="shared" si="1"/>
        <v>6</v>
      </c>
      <c r="B8" s="1">
        <v>517</v>
      </c>
      <c r="C8" s="2">
        <f t="shared" si="0"/>
        <v>0.51700000000000002</v>
      </c>
    </row>
    <row r="9" spans="1:3" x14ac:dyDescent="0.45">
      <c r="A9" s="1">
        <f t="shared" si="1"/>
        <v>7</v>
      </c>
      <c r="B9" s="1">
        <v>491</v>
      </c>
      <c r="C9" s="2">
        <f t="shared" si="0"/>
        <v>0.49099999999999999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9872-B29F-4361-8F92-DC762923C29D}">
  <dimension ref="A2:L59"/>
  <sheetViews>
    <sheetView tabSelected="1" workbookViewId="0">
      <selection activeCell="I26" sqref="I26"/>
    </sheetView>
  </sheetViews>
  <sheetFormatPr defaultRowHeight="14.25" x14ac:dyDescent="0.45"/>
  <cols>
    <col min="5" max="5" width="14.33203125" bestFit="1" customWidth="1"/>
    <col min="6" max="6" width="12.33203125" bestFit="1" customWidth="1"/>
    <col min="7" max="7" width="4.265625" customWidth="1"/>
    <col min="8" max="9" width="12.33203125" bestFit="1" customWidth="1"/>
    <col min="10" max="10" width="17.33203125" bestFit="1" customWidth="1"/>
    <col min="11" max="11" width="2.73046875" customWidth="1"/>
    <col min="12" max="12" width="18.796875" bestFit="1" customWidth="1"/>
  </cols>
  <sheetData>
    <row r="2" spans="1:12" x14ac:dyDescent="0.45">
      <c r="A2" t="s">
        <v>34</v>
      </c>
      <c r="B2" s="9" t="s">
        <v>29</v>
      </c>
      <c r="C2" s="9"/>
      <c r="E2" s="10" t="s">
        <v>28</v>
      </c>
      <c r="F2" s="10"/>
      <c r="H2" s="10" t="s">
        <v>32</v>
      </c>
      <c r="I2" s="10"/>
      <c r="J2" s="10"/>
      <c r="L2" s="6" t="s">
        <v>33</v>
      </c>
    </row>
    <row r="3" spans="1:12" x14ac:dyDescent="0.45">
      <c r="B3" s="1"/>
      <c r="C3" s="1"/>
      <c r="E3" cm="1">
        <f t="array" ref="E3:F3">LINEST(B5:B12,A5:A12, B5)</f>
        <v>-70.94047619047619</v>
      </c>
      <c r="F3">
        <v>925.41666666666663</v>
      </c>
      <c r="I3" cm="1">
        <f t="array" ref="I3:J3">LINEST(B5:B12,I5:I12)</f>
        <v>-8.6008535489667555</v>
      </c>
      <c r="J3">
        <v>827.63993710691818</v>
      </c>
    </row>
    <row r="4" spans="1:12" x14ac:dyDescent="0.45">
      <c r="A4" s="1" t="s">
        <v>0</v>
      </c>
      <c r="B4" s="1" t="s">
        <v>3</v>
      </c>
      <c r="C4" s="1" t="s">
        <v>2</v>
      </c>
      <c r="E4" t="s">
        <v>30</v>
      </c>
      <c r="H4" t="s">
        <v>35</v>
      </c>
      <c r="I4" t="s">
        <v>31</v>
      </c>
      <c r="J4" t="s">
        <v>36</v>
      </c>
      <c r="L4" t="s">
        <v>37</v>
      </c>
    </row>
    <row r="5" spans="1:12" x14ac:dyDescent="0.45">
      <c r="A5" s="1">
        <v>0</v>
      </c>
      <c r="B5" s="1">
        <f>'Data Input'!B2</f>
        <v>1000</v>
      </c>
      <c r="C5" s="2">
        <f>B5/$B$5</f>
        <v>1</v>
      </c>
      <c r="E5">
        <f>$F$3+$E$3*A5</f>
        <v>925.41666666666663</v>
      </c>
      <c r="H5">
        <f>A5</f>
        <v>0</v>
      </c>
      <c r="I5">
        <f>A5^2</f>
        <v>0</v>
      </c>
      <c r="J5">
        <f>$B$57+$B$58*H5+$B$59*I5</f>
        <v>827.6399371069183</v>
      </c>
      <c r="L5" cm="1">
        <f t="array" ref="L5:L17">GROWTH(B5:B12, A5:A12, A5:A17)</f>
        <v>939.77255178394955</v>
      </c>
    </row>
    <row r="6" spans="1:12" x14ac:dyDescent="0.45">
      <c r="A6" s="1">
        <f>A5+1</f>
        <v>1</v>
      </c>
      <c r="B6" s="1">
        <f>'Data Input'!B3</f>
        <v>869</v>
      </c>
      <c r="C6" s="2">
        <f t="shared" ref="C6:C12" si="0">B6/$B$5</f>
        <v>0.86899999999999999</v>
      </c>
      <c r="E6">
        <f t="shared" ref="E6:E17" si="1">$F$3+$E$3*A6</f>
        <v>854.47619047619048</v>
      </c>
      <c r="H6">
        <f t="shared" ref="H6:H17" si="2">A6</f>
        <v>1</v>
      </c>
      <c r="I6">
        <f t="shared" ref="I6:I17" si="3">A6^2</f>
        <v>1</v>
      </c>
      <c r="J6">
        <f t="shared" ref="J6:J17" si="4">$B$57+$B$58*H6+$B$59*I6</f>
        <v>819.03908355795159</v>
      </c>
      <c r="L6">
        <v>848.63283136733833</v>
      </c>
    </row>
    <row r="7" spans="1:12" x14ac:dyDescent="0.45">
      <c r="A7" s="1">
        <f t="shared" ref="A7:A17" si="5">A6+1</f>
        <v>2</v>
      </c>
      <c r="B7" s="1">
        <f>'Data Input'!B4</f>
        <v>743</v>
      </c>
      <c r="C7" s="2">
        <f t="shared" si="0"/>
        <v>0.74299999999999999</v>
      </c>
      <c r="E7">
        <f t="shared" si="1"/>
        <v>783.53571428571422</v>
      </c>
      <c r="H7">
        <f t="shared" si="2"/>
        <v>2</v>
      </c>
      <c r="I7">
        <f t="shared" si="3"/>
        <v>4</v>
      </c>
      <c r="J7">
        <f t="shared" si="4"/>
        <v>793.23652291105122</v>
      </c>
      <c r="L7">
        <v>766.33189712494573</v>
      </c>
    </row>
    <row r="8" spans="1:12" x14ac:dyDescent="0.45">
      <c r="A8" s="1">
        <f t="shared" si="5"/>
        <v>3</v>
      </c>
      <c r="B8" s="1">
        <f>'Data Input'!B5</f>
        <v>653</v>
      </c>
      <c r="C8" s="2">
        <f t="shared" si="0"/>
        <v>0.65300000000000002</v>
      </c>
      <c r="E8">
        <f t="shared" si="1"/>
        <v>712.59523809523807</v>
      </c>
      <c r="H8">
        <f t="shared" si="2"/>
        <v>3</v>
      </c>
      <c r="I8">
        <f t="shared" si="3"/>
        <v>9</v>
      </c>
      <c r="J8">
        <f t="shared" si="4"/>
        <v>750.23225516621733</v>
      </c>
      <c r="L8">
        <v>692.01255813412638</v>
      </c>
    </row>
    <row r="9" spans="1:12" x14ac:dyDescent="0.45">
      <c r="A9" s="1">
        <f t="shared" si="5"/>
        <v>4</v>
      </c>
      <c r="B9" s="1">
        <f>'Data Input'!B6</f>
        <v>593</v>
      </c>
      <c r="C9" s="2">
        <f t="shared" si="0"/>
        <v>0.59299999999999997</v>
      </c>
      <c r="E9">
        <f t="shared" si="1"/>
        <v>641.65476190476193</v>
      </c>
      <c r="H9">
        <f t="shared" si="2"/>
        <v>4</v>
      </c>
      <c r="I9">
        <f t="shared" si="3"/>
        <v>16</v>
      </c>
      <c r="J9">
        <f t="shared" si="4"/>
        <v>690.02628032345012</v>
      </c>
      <c r="L9">
        <v>624.90075437543589</v>
      </c>
    </row>
    <row r="10" spans="1:12" x14ac:dyDescent="0.45">
      <c r="A10" s="1">
        <f t="shared" si="5"/>
        <v>5</v>
      </c>
      <c r="B10" s="1">
        <f>'Data Input'!B7</f>
        <v>551</v>
      </c>
      <c r="C10" s="2">
        <f t="shared" si="0"/>
        <v>0.55100000000000005</v>
      </c>
      <c r="E10">
        <f t="shared" si="1"/>
        <v>570.71428571428567</v>
      </c>
      <c r="H10">
        <f t="shared" si="2"/>
        <v>5</v>
      </c>
      <c r="I10">
        <f t="shared" si="3"/>
        <v>25</v>
      </c>
      <c r="J10">
        <f t="shared" si="4"/>
        <v>612.61859838274927</v>
      </c>
      <c r="L10">
        <v>564.29749464647978</v>
      </c>
    </row>
    <row r="11" spans="1:12" x14ac:dyDescent="0.45">
      <c r="A11" s="1">
        <f t="shared" si="5"/>
        <v>6</v>
      </c>
      <c r="B11" s="1">
        <f>'Data Input'!B8</f>
        <v>517</v>
      </c>
      <c r="C11" s="2">
        <f t="shared" si="0"/>
        <v>0.51700000000000002</v>
      </c>
      <c r="E11">
        <f t="shared" si="1"/>
        <v>499.77380952380952</v>
      </c>
      <c r="H11">
        <f t="shared" si="2"/>
        <v>6</v>
      </c>
      <c r="I11">
        <f t="shared" si="3"/>
        <v>36</v>
      </c>
      <c r="J11">
        <f t="shared" si="4"/>
        <v>518.00920934411499</v>
      </c>
      <c r="L11">
        <v>509.57157634183676</v>
      </c>
    </row>
    <row r="12" spans="1:12" x14ac:dyDescent="0.45">
      <c r="A12" s="1">
        <f t="shared" si="5"/>
        <v>7</v>
      </c>
      <c r="B12" s="1">
        <f>'Data Input'!B9</f>
        <v>491</v>
      </c>
      <c r="C12" s="2">
        <f t="shared" si="0"/>
        <v>0.49099999999999999</v>
      </c>
      <c r="E12">
        <f t="shared" si="1"/>
        <v>428.83333333333331</v>
      </c>
      <c r="H12">
        <f t="shared" si="2"/>
        <v>7</v>
      </c>
      <c r="I12">
        <f t="shared" si="3"/>
        <v>49</v>
      </c>
      <c r="J12">
        <f t="shared" si="4"/>
        <v>406.19811320754707</v>
      </c>
      <c r="L12">
        <v>460.15301127320748</v>
      </c>
    </row>
    <row r="13" spans="1:12" x14ac:dyDescent="0.45">
      <c r="A13" s="1">
        <f t="shared" si="5"/>
        <v>8</v>
      </c>
      <c r="E13">
        <f t="shared" si="1"/>
        <v>357.89285714285711</v>
      </c>
      <c r="H13">
        <f t="shared" si="2"/>
        <v>8</v>
      </c>
      <c r="I13">
        <f t="shared" si="3"/>
        <v>64</v>
      </c>
      <c r="J13">
        <f t="shared" si="4"/>
        <v>277.18530997304572</v>
      </c>
      <c r="L13">
        <v>415.52708905756987</v>
      </c>
    </row>
    <row r="14" spans="1:12" x14ac:dyDescent="0.45">
      <c r="A14" s="1">
        <f t="shared" si="5"/>
        <v>9</v>
      </c>
      <c r="E14">
        <f t="shared" si="1"/>
        <v>286.95238095238096</v>
      </c>
      <c r="H14">
        <f t="shared" si="2"/>
        <v>9</v>
      </c>
      <c r="I14">
        <f t="shared" si="3"/>
        <v>81</v>
      </c>
      <c r="J14">
        <f t="shared" si="4"/>
        <v>130.97079964061084</v>
      </c>
      <c r="L14">
        <v>375.22901624160448</v>
      </c>
    </row>
    <row r="15" spans="1:12" x14ac:dyDescent="0.45">
      <c r="A15" s="1">
        <f t="shared" si="5"/>
        <v>10</v>
      </c>
      <c r="E15">
        <f t="shared" si="1"/>
        <v>216.0119047619047</v>
      </c>
      <c r="H15">
        <f t="shared" si="2"/>
        <v>10</v>
      </c>
      <c r="I15">
        <f t="shared" si="3"/>
        <v>100</v>
      </c>
      <c r="J15">
        <f t="shared" si="4"/>
        <v>-32.445417789757471</v>
      </c>
      <c r="L15">
        <v>338.83907532713312</v>
      </c>
    </row>
    <row r="16" spans="1:12" x14ac:dyDescent="0.45">
      <c r="A16" s="1">
        <f t="shared" si="5"/>
        <v>11</v>
      </c>
      <c r="E16">
        <f t="shared" si="1"/>
        <v>145.07142857142856</v>
      </c>
      <c r="H16">
        <f t="shared" si="2"/>
        <v>11</v>
      </c>
      <c r="I16">
        <f t="shared" si="3"/>
        <v>121</v>
      </c>
      <c r="J16">
        <f t="shared" si="4"/>
        <v>-213.06334231805943</v>
      </c>
      <c r="L16">
        <v>305.97825327724894</v>
      </c>
    </row>
    <row r="17" spans="1:12" x14ac:dyDescent="0.45">
      <c r="A17" s="1">
        <f t="shared" si="5"/>
        <v>12</v>
      </c>
      <c r="E17">
        <f t="shared" si="1"/>
        <v>74.130952380952408</v>
      </c>
      <c r="H17">
        <f t="shared" si="2"/>
        <v>12</v>
      </c>
      <c r="I17">
        <f t="shared" si="3"/>
        <v>144</v>
      </c>
      <c r="J17">
        <f t="shared" si="4"/>
        <v>-410.8829739442948</v>
      </c>
      <c r="L17">
        <v>276.30429397261224</v>
      </c>
    </row>
    <row r="41" spans="1:2" x14ac:dyDescent="0.45">
      <c r="A41" t="s">
        <v>4</v>
      </c>
    </row>
    <row r="42" spans="1:2" ht="14.65" thickBot="1" x14ac:dyDescent="0.5"/>
    <row r="43" spans="1:2" x14ac:dyDescent="0.45">
      <c r="A43" s="5" t="s">
        <v>5</v>
      </c>
      <c r="B43" s="5"/>
    </row>
    <row r="44" spans="1:2" x14ac:dyDescent="0.45">
      <c r="A44" t="s">
        <v>6</v>
      </c>
      <c r="B44">
        <v>1</v>
      </c>
    </row>
    <row r="45" spans="1:2" x14ac:dyDescent="0.45">
      <c r="A45" t="s">
        <v>7</v>
      </c>
      <c r="B45">
        <v>1</v>
      </c>
    </row>
    <row r="46" spans="1:2" x14ac:dyDescent="0.45">
      <c r="A46" t="s">
        <v>8</v>
      </c>
      <c r="B46">
        <v>1</v>
      </c>
    </row>
    <row r="47" spans="1:2" x14ac:dyDescent="0.45">
      <c r="A47" t="s">
        <v>9</v>
      </c>
      <c r="B47">
        <v>6.5610538773687893E-14</v>
      </c>
    </row>
    <row r="48" spans="1:2" ht="14.65" thickBot="1" x14ac:dyDescent="0.5">
      <c r="A48" s="3" t="s">
        <v>10</v>
      </c>
      <c r="B48" s="3">
        <v>7</v>
      </c>
    </row>
    <row r="50" spans="1:9" ht="14.65" thickBot="1" x14ac:dyDescent="0.5">
      <c r="A50" t="s">
        <v>11</v>
      </c>
    </row>
    <row r="51" spans="1:9" x14ac:dyDescent="0.45">
      <c r="A51" s="4"/>
      <c r="B51" s="4" t="s">
        <v>16</v>
      </c>
      <c r="C51" s="4" t="s">
        <v>17</v>
      </c>
      <c r="D51" s="4" t="s">
        <v>18</v>
      </c>
      <c r="E51" s="4" t="s">
        <v>19</v>
      </c>
      <c r="F51" s="4" t="s">
        <v>20</v>
      </c>
    </row>
    <row r="52" spans="1:9" x14ac:dyDescent="0.45">
      <c r="A52" t="s">
        <v>12</v>
      </c>
      <c r="B52">
        <v>2</v>
      </c>
      <c r="C52">
        <v>80780.352493685234</v>
      </c>
      <c r="D52">
        <v>40390.176246842617</v>
      </c>
      <c r="E52">
        <v>9.3827153306300187E+30</v>
      </c>
      <c r="F52">
        <v>4.5436295049837181E-62</v>
      </c>
    </row>
    <row r="53" spans="1:9" x14ac:dyDescent="0.45">
      <c r="A53" t="s">
        <v>13</v>
      </c>
      <c r="B53">
        <v>4</v>
      </c>
      <c r="C53">
        <v>1.7218971192694408E-26</v>
      </c>
      <c r="D53">
        <v>4.3047427981736019E-27</v>
      </c>
    </row>
    <row r="54" spans="1:9" ht="14.65" thickBot="1" x14ac:dyDescent="0.5">
      <c r="A54" s="3" t="s">
        <v>14</v>
      </c>
      <c r="B54" s="3">
        <v>6</v>
      </c>
      <c r="C54" s="3">
        <v>80780.352493685234</v>
      </c>
      <c r="D54" s="3"/>
      <c r="E54" s="3"/>
      <c r="F54" s="3"/>
    </row>
    <row r="55" spans="1:9" ht="14.65" thickBot="1" x14ac:dyDescent="0.5"/>
    <row r="56" spans="1:9" x14ac:dyDescent="0.45">
      <c r="A56" s="4"/>
      <c r="B56" s="4" t="s">
        <v>21</v>
      </c>
      <c r="C56" s="4" t="s">
        <v>9</v>
      </c>
      <c r="D56" s="4" t="s">
        <v>22</v>
      </c>
      <c r="E56" s="4" t="s">
        <v>23</v>
      </c>
      <c r="F56" s="4" t="s">
        <v>24</v>
      </c>
      <c r="G56" s="4" t="s">
        <v>25</v>
      </c>
      <c r="H56" s="4" t="s">
        <v>26</v>
      </c>
      <c r="I56" s="4" t="s">
        <v>27</v>
      </c>
    </row>
    <row r="57" spans="1:9" x14ac:dyDescent="0.45">
      <c r="A57" t="s">
        <v>15</v>
      </c>
      <c r="B57">
        <v>827.6399371069183</v>
      </c>
      <c r="C57">
        <v>5.7269573393763833E-14</v>
      </c>
      <c r="D57">
        <v>1.445165186435702E+16</v>
      </c>
      <c r="E57">
        <v>1.3755655362028746E-64</v>
      </c>
      <c r="F57">
        <v>827.63993710691818</v>
      </c>
      <c r="G57">
        <v>827.63993710691841</v>
      </c>
      <c r="H57">
        <v>827.63993710691818</v>
      </c>
      <c r="I57">
        <v>827.63993710691841</v>
      </c>
    </row>
    <row r="58" spans="1:9" x14ac:dyDescent="0.45">
      <c r="A58" t="s">
        <v>35</v>
      </c>
      <c r="B58">
        <v>-2.6062692095685811E-14</v>
      </c>
      <c r="C58">
        <v>4.4706046401648124E-14</v>
      </c>
      <c r="D58">
        <v>-0.58297913131332024</v>
      </c>
      <c r="E58">
        <v>0.59119263076862705</v>
      </c>
      <c r="F58">
        <v>-1.5018657580028718E-13</v>
      </c>
      <c r="G58">
        <v>9.8061191608915555E-14</v>
      </c>
      <c r="H58">
        <v>-1.5018657580028718E-13</v>
      </c>
      <c r="I58">
        <v>9.8061191608915555E-14</v>
      </c>
    </row>
    <row r="59" spans="1:9" ht="14.65" thickBot="1" x14ac:dyDescent="0.5">
      <c r="A59" s="3" t="s">
        <v>31</v>
      </c>
      <c r="B59" s="3">
        <v>-8.6008535489667555</v>
      </c>
      <c r="C59" s="3">
        <v>7.1586966742204729E-15</v>
      </c>
      <c r="D59" s="3">
        <v>-1201455228566912.8</v>
      </c>
      <c r="E59" s="3">
        <v>2.8795251987834701E-60</v>
      </c>
      <c r="F59" s="3">
        <v>-8.600853548966775</v>
      </c>
      <c r="G59" s="3">
        <v>-8.6008535489667359</v>
      </c>
      <c r="H59" s="3">
        <v>-8.600853548966775</v>
      </c>
      <c r="I59" s="3">
        <v>-8.6008535489667359</v>
      </c>
    </row>
  </sheetData>
  <mergeCells count="3">
    <mergeCell ref="B2:C2"/>
    <mergeCell ref="E2:F2"/>
    <mergeCell ref="H2: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DBA6-6A20-47F3-B89B-28C1E9821376}">
  <dimension ref="A1:N24"/>
  <sheetViews>
    <sheetView topLeftCell="A30" zoomScale="124" zoomScaleNormal="124" workbookViewId="0">
      <selection activeCell="N12" sqref="N12"/>
    </sheetView>
  </sheetViews>
  <sheetFormatPr defaultRowHeight="14.25" x14ac:dyDescent="0.45"/>
  <cols>
    <col min="1" max="5" width="2.59765625" customWidth="1"/>
    <col min="6" max="9" width="15.59765625" customWidth="1"/>
    <col min="10" max="10" width="2.59765625" customWidth="1"/>
    <col min="11" max="14" width="15.59765625" customWidth="1"/>
  </cols>
  <sheetData>
    <row r="1" spans="1:14" x14ac:dyDescent="0.45">
      <c r="B1" s="7" t="s">
        <v>57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3" spans="1:14" x14ac:dyDescent="0.45">
      <c r="A3" t="s">
        <v>38</v>
      </c>
      <c r="B3" t="s">
        <v>50</v>
      </c>
    </row>
    <row r="4" spans="1:14" x14ac:dyDescent="0.45">
      <c r="C4" t="s">
        <v>51</v>
      </c>
      <c r="F4">
        <v>1000</v>
      </c>
    </row>
    <row r="5" spans="1:14" x14ac:dyDescent="0.45">
      <c r="C5" t="s">
        <v>39</v>
      </c>
      <c r="F5">
        <v>0.10332927330293361</v>
      </c>
    </row>
    <row r="6" spans="1:14" x14ac:dyDescent="0.45">
      <c r="C6" t="s">
        <v>40</v>
      </c>
      <c r="F6">
        <f>SUM(I12:I19)</f>
        <v>-1637.0928189339866</v>
      </c>
    </row>
    <row r="8" spans="1:14" x14ac:dyDescent="0.45">
      <c r="A8" t="s">
        <v>38</v>
      </c>
      <c r="B8" t="s">
        <v>41</v>
      </c>
    </row>
    <row r="9" spans="1:14" x14ac:dyDescent="0.45">
      <c r="D9" s="11" t="s">
        <v>47</v>
      </c>
      <c r="E9" s="11"/>
      <c r="F9" s="11"/>
      <c r="G9" s="11"/>
      <c r="H9" s="11"/>
      <c r="I9" s="11"/>
      <c r="K9" t="s">
        <v>48</v>
      </c>
    </row>
    <row r="10" spans="1:14" x14ac:dyDescent="0.45">
      <c r="D10" s="8" t="s">
        <v>0</v>
      </c>
      <c r="E10" s="8"/>
      <c r="F10" s="8" t="s">
        <v>43</v>
      </c>
      <c r="G10" s="8" t="s">
        <v>45</v>
      </c>
      <c r="H10" s="8" t="s">
        <v>44</v>
      </c>
      <c r="I10" s="8" t="s">
        <v>46</v>
      </c>
      <c r="K10" t="s">
        <v>0</v>
      </c>
      <c r="L10" t="s">
        <v>42</v>
      </c>
      <c r="M10" t="s">
        <v>49</v>
      </c>
      <c r="N10" t="s">
        <v>1</v>
      </c>
    </row>
    <row r="11" spans="1:14" x14ac:dyDescent="0.45">
      <c r="D11">
        <v>0</v>
      </c>
      <c r="F11" s="1">
        <f>'Data Input'!B2</f>
        <v>1000</v>
      </c>
      <c r="G11">
        <v>0</v>
      </c>
      <c r="H11">
        <f>0</f>
        <v>0</v>
      </c>
      <c r="K11">
        <v>0</v>
      </c>
      <c r="L11">
        <v>0</v>
      </c>
      <c r="M11">
        <f>$F$4*L11</f>
        <v>0</v>
      </c>
      <c r="N11">
        <f>F4</f>
        <v>1000</v>
      </c>
    </row>
    <row r="12" spans="1:14" x14ac:dyDescent="0.45">
      <c r="D12">
        <f>D11+1</f>
        <v>1</v>
      </c>
      <c r="F12" s="1">
        <f>'Data Input'!B3</f>
        <v>869</v>
      </c>
      <c r="G12">
        <f t="shared" ref="G12:G18" si="0">$F$5*(1-$F$5)^(D12-1)</f>
        <v>0.10332927330293361</v>
      </c>
      <c r="H12">
        <f>F11-F12</f>
        <v>131</v>
      </c>
      <c r="I12">
        <f>H12*LN(G12)</f>
        <v>-297.34832756432365</v>
      </c>
      <c r="K12">
        <f>K11+1</f>
        <v>1</v>
      </c>
      <c r="L12">
        <f>$F$5*(1-$F$5)^(K12-1)</f>
        <v>0.10332927330293361</v>
      </c>
      <c r="M12">
        <f t="shared" ref="M12:M24" si="1">$F$4*L12</f>
        <v>103.32927330293361</v>
      </c>
      <c r="N12">
        <f>N11-M12</f>
        <v>896.67072669706636</v>
      </c>
    </row>
    <row r="13" spans="1:14" x14ac:dyDescent="0.45">
      <c r="D13">
        <f t="shared" ref="D13:D18" si="2">D12+1</f>
        <v>2</v>
      </c>
      <c r="F13" s="1">
        <f>'Data Input'!B4</f>
        <v>743</v>
      </c>
      <c r="G13">
        <f t="shared" si="0"/>
        <v>9.2652334581621254E-2</v>
      </c>
      <c r="H13">
        <f t="shared" ref="H13:H18" si="3">F12-F13</f>
        <v>126</v>
      </c>
      <c r="I13">
        <f t="shared" ref="I13:I18" si="4">H13*LN(G13)</f>
        <v>-299.74154221738337</v>
      </c>
      <c r="K13">
        <f t="shared" ref="K13:K24" si="5">K12+1</f>
        <v>2</v>
      </c>
      <c r="L13">
        <f t="shared" ref="L13:L24" si="6">$F$5*(1-$F$5)^(K13-1)</f>
        <v>9.2652334581621254E-2</v>
      </c>
      <c r="M13">
        <f t="shared" si="1"/>
        <v>92.652334581621261</v>
      </c>
      <c r="N13">
        <f t="shared" ref="N13:N24" si="7">N12-M13</f>
        <v>804.01839211544507</v>
      </c>
    </row>
    <row r="14" spans="1:14" x14ac:dyDescent="0.45">
      <c r="D14">
        <f t="shared" si="2"/>
        <v>3</v>
      </c>
      <c r="F14" s="1">
        <f>'Data Input'!B5</f>
        <v>653</v>
      </c>
      <c r="G14">
        <f t="shared" si="0"/>
        <v>8.3078636179482065E-2</v>
      </c>
      <c r="H14">
        <f t="shared" si="3"/>
        <v>90</v>
      </c>
      <c r="I14">
        <f t="shared" si="4"/>
        <v>-223.91709262731547</v>
      </c>
      <c r="K14">
        <f t="shared" si="5"/>
        <v>3</v>
      </c>
      <c r="L14">
        <f t="shared" si="6"/>
        <v>8.3078636179482065E-2</v>
      </c>
      <c r="M14">
        <f t="shared" si="1"/>
        <v>83.078636179482061</v>
      </c>
      <c r="N14">
        <f t="shared" si="7"/>
        <v>720.93975593596303</v>
      </c>
    </row>
    <row r="15" spans="1:14" x14ac:dyDescent="0.45">
      <c r="D15">
        <f t="shared" si="2"/>
        <v>4</v>
      </c>
      <c r="F15" s="1">
        <f>'Data Input'!B6</f>
        <v>593</v>
      </c>
      <c r="G15">
        <f t="shared" si="0"/>
        <v>7.4494181076057375E-2</v>
      </c>
      <c r="H15">
        <f t="shared" si="3"/>
        <v>60</v>
      </c>
      <c r="I15">
        <f t="shared" si="4"/>
        <v>-155.82205578052378</v>
      </c>
      <c r="K15">
        <f t="shared" si="5"/>
        <v>4</v>
      </c>
      <c r="L15">
        <f t="shared" si="6"/>
        <v>7.4494181076057375E-2</v>
      </c>
      <c r="M15">
        <f t="shared" si="1"/>
        <v>74.494181076057373</v>
      </c>
      <c r="N15">
        <f t="shared" si="7"/>
        <v>646.44557485990572</v>
      </c>
    </row>
    <row r="16" spans="1:14" x14ac:dyDescent="0.45">
      <c r="D16">
        <f t="shared" si="2"/>
        <v>5</v>
      </c>
      <c r="F16" s="1">
        <f>'Data Input'!B7</f>
        <v>551</v>
      </c>
      <c r="G16">
        <f t="shared" si="0"/>
        <v>6.6796751480171224E-2</v>
      </c>
      <c r="H16">
        <f t="shared" si="3"/>
        <v>42</v>
      </c>
      <c r="I16">
        <f t="shared" si="4"/>
        <v>-113.65623486665274</v>
      </c>
      <c r="K16">
        <f t="shared" si="5"/>
        <v>5</v>
      </c>
      <c r="L16">
        <f t="shared" si="6"/>
        <v>6.6796751480171224E-2</v>
      </c>
      <c r="M16">
        <f t="shared" si="1"/>
        <v>66.796751480171224</v>
      </c>
      <c r="N16">
        <f t="shared" si="7"/>
        <v>579.64882337973449</v>
      </c>
    </row>
    <row r="17" spans="4:14" x14ac:dyDescent="0.45">
      <c r="D17">
        <f t="shared" si="2"/>
        <v>6</v>
      </c>
      <c r="F17" s="1">
        <f>'Data Input'!B8</f>
        <v>517</v>
      </c>
      <c r="G17">
        <f t="shared" si="0"/>
        <v>5.9894691690728474E-2</v>
      </c>
      <c r="H17">
        <f t="shared" si="3"/>
        <v>34</v>
      </c>
      <c r="I17">
        <f t="shared" si="4"/>
        <v>-95.715691508474308</v>
      </c>
      <c r="K17">
        <f t="shared" si="5"/>
        <v>6</v>
      </c>
      <c r="L17">
        <f t="shared" si="6"/>
        <v>5.9894691690728474E-2</v>
      </c>
      <c r="M17">
        <f t="shared" si="1"/>
        <v>59.894691690728472</v>
      </c>
      <c r="N17">
        <f t="shared" si="7"/>
        <v>519.75413168900604</v>
      </c>
    </row>
    <row r="18" spans="4:14" x14ac:dyDescent="0.45">
      <c r="D18">
        <f t="shared" si="2"/>
        <v>7</v>
      </c>
      <c r="F18" s="1">
        <f>'Data Input'!B9</f>
        <v>491</v>
      </c>
      <c r="G18">
        <f t="shared" si="0"/>
        <v>5.3705816723622242E-2</v>
      </c>
      <c r="H18">
        <f t="shared" si="3"/>
        <v>26</v>
      </c>
      <c r="I18">
        <f t="shared" si="4"/>
        <v>-76.03008307590116</v>
      </c>
      <c r="K18">
        <f t="shared" si="5"/>
        <v>7</v>
      </c>
      <c r="L18">
        <f t="shared" si="6"/>
        <v>5.3705816723622242E-2</v>
      </c>
      <c r="M18">
        <f t="shared" si="1"/>
        <v>53.705816723622242</v>
      </c>
      <c r="N18">
        <f t="shared" si="7"/>
        <v>466.04831496538378</v>
      </c>
    </row>
    <row r="19" spans="4:14" x14ac:dyDescent="0.45">
      <c r="I19">
        <f>F18*LN(1-SUM(G12:G18))</f>
        <v>-374.86179129341241</v>
      </c>
      <c r="K19">
        <f t="shared" si="5"/>
        <v>8</v>
      </c>
      <c r="L19">
        <f t="shared" si="6"/>
        <v>4.8156433709429819E-2</v>
      </c>
      <c r="M19">
        <f t="shared" si="1"/>
        <v>48.15643370942982</v>
      </c>
      <c r="N19">
        <f t="shared" si="7"/>
        <v>417.89188125595399</v>
      </c>
    </row>
    <row r="20" spans="4:14" x14ac:dyDescent="0.45">
      <c r="K20">
        <f t="shared" si="5"/>
        <v>9</v>
      </c>
      <c r="L20">
        <f t="shared" si="6"/>
        <v>4.3180464409373551E-2</v>
      </c>
      <c r="M20">
        <f t="shared" si="1"/>
        <v>43.180464409373549</v>
      </c>
      <c r="N20">
        <f t="shared" si="7"/>
        <v>374.71141684658045</v>
      </c>
    </row>
    <row r="21" spans="4:14" x14ac:dyDescent="0.45">
      <c r="K21">
        <f t="shared" si="5"/>
        <v>10</v>
      </c>
      <c r="L21">
        <f t="shared" si="6"/>
        <v>3.8718658401069792E-2</v>
      </c>
      <c r="M21">
        <f t="shared" si="1"/>
        <v>38.718658401069789</v>
      </c>
      <c r="N21">
        <f t="shared" si="7"/>
        <v>335.99275844551067</v>
      </c>
    </row>
    <row r="22" spans="4:14" x14ac:dyDescent="0.45">
      <c r="K22">
        <f t="shared" si="5"/>
        <v>11</v>
      </c>
      <c r="L22">
        <f t="shared" si="6"/>
        <v>3.4717887565222726E-2</v>
      </c>
      <c r="M22">
        <f t="shared" si="1"/>
        <v>34.717887565222725</v>
      </c>
      <c r="N22">
        <f t="shared" si="7"/>
        <v>301.27487088028795</v>
      </c>
    </row>
    <row r="23" spans="4:14" x14ac:dyDescent="0.45">
      <c r="K23">
        <f t="shared" si="5"/>
        <v>12</v>
      </c>
      <c r="L23">
        <f t="shared" si="6"/>
        <v>3.1130513472495305E-2</v>
      </c>
      <c r="M23">
        <f t="shared" si="1"/>
        <v>31.130513472495306</v>
      </c>
      <c r="N23">
        <f t="shared" si="7"/>
        <v>270.14435740779265</v>
      </c>
    </row>
    <row r="24" spans="4:14" x14ac:dyDescent="0.45">
      <c r="K24">
        <f t="shared" si="5"/>
        <v>13</v>
      </c>
      <c r="L24">
        <f t="shared" si="6"/>
        <v>2.7913820137835183E-2</v>
      </c>
      <c r="M24">
        <f t="shared" si="1"/>
        <v>27.913820137835184</v>
      </c>
      <c r="N24">
        <f t="shared" si="7"/>
        <v>242.23053726995747</v>
      </c>
    </row>
  </sheetData>
  <mergeCells count="1">
    <mergeCell ref="D9:I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B64C-D5AC-41B1-8BCC-45660132CF05}">
  <dimension ref="A1:N26"/>
  <sheetViews>
    <sheetView topLeftCell="A31" zoomScale="166" zoomScaleNormal="166" workbookViewId="0">
      <selection activeCell="G7" sqref="G7"/>
    </sheetView>
  </sheetViews>
  <sheetFormatPr defaultRowHeight="14.25" x14ac:dyDescent="0.45"/>
  <cols>
    <col min="1" max="5" width="2.59765625" customWidth="1"/>
    <col min="6" max="9" width="15.59765625" customWidth="1"/>
    <col min="10" max="10" width="2.59765625" customWidth="1"/>
    <col min="11" max="14" width="15.59765625" customWidth="1"/>
  </cols>
  <sheetData>
    <row r="1" spans="1:14" x14ac:dyDescent="0.45">
      <c r="B1" s="7" t="s">
        <v>56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3" spans="1:14" x14ac:dyDescent="0.45">
      <c r="A3" t="s">
        <v>38</v>
      </c>
      <c r="B3" t="s">
        <v>50</v>
      </c>
    </row>
    <row r="4" spans="1:14" x14ac:dyDescent="0.45">
      <c r="C4" t="s">
        <v>51</v>
      </c>
      <c r="F4">
        <v>1000</v>
      </c>
    </row>
    <row r="5" spans="1:14" x14ac:dyDescent="0.45">
      <c r="C5" t="s">
        <v>52</v>
      </c>
      <c r="F5">
        <v>1.0000000000000026E-3</v>
      </c>
      <c r="G5">
        <v>0.2504974388309088</v>
      </c>
    </row>
    <row r="6" spans="1:14" x14ac:dyDescent="0.45">
      <c r="C6" t="s">
        <v>53</v>
      </c>
      <c r="F6">
        <v>0.41633666738556974</v>
      </c>
      <c r="G6">
        <v>0.58366333261443015</v>
      </c>
    </row>
    <row r="7" spans="1:14" x14ac:dyDescent="0.45">
      <c r="D7" t="s">
        <v>54</v>
      </c>
      <c r="F7">
        <f>SUM(F6:G6)</f>
        <v>0.99999999999999989</v>
      </c>
    </row>
    <row r="8" spans="1:14" x14ac:dyDescent="0.45">
      <c r="C8" t="s">
        <v>40</v>
      </c>
      <c r="F8">
        <f>SUM(I14:I21)</f>
        <v>-1607.6263445734439</v>
      </c>
    </row>
    <row r="10" spans="1:14" x14ac:dyDescent="0.45">
      <c r="A10" t="s">
        <v>38</v>
      </c>
      <c r="B10" t="s">
        <v>41</v>
      </c>
    </row>
    <row r="11" spans="1:14" x14ac:dyDescent="0.45">
      <c r="D11" s="11" t="s">
        <v>47</v>
      </c>
      <c r="E11" s="11"/>
      <c r="F11" s="11"/>
      <c r="G11" s="11"/>
      <c r="H11" s="11"/>
      <c r="I11" s="11"/>
      <c r="K11" t="s">
        <v>48</v>
      </c>
    </row>
    <row r="12" spans="1:14" x14ac:dyDescent="0.45">
      <c r="D12" s="8" t="s">
        <v>0</v>
      </c>
      <c r="E12" s="8"/>
      <c r="F12" s="8" t="s">
        <v>43</v>
      </c>
      <c r="G12" s="8" t="s">
        <v>45</v>
      </c>
      <c r="H12" s="8" t="s">
        <v>44</v>
      </c>
      <c r="I12" s="8" t="s">
        <v>46</v>
      </c>
      <c r="K12" t="s">
        <v>0</v>
      </c>
      <c r="L12" t="s">
        <v>42</v>
      </c>
      <c r="M12" t="s">
        <v>49</v>
      </c>
      <c r="N12" t="s">
        <v>1</v>
      </c>
    </row>
    <row r="13" spans="1:14" x14ac:dyDescent="0.45">
      <c r="D13">
        <v>0</v>
      </c>
      <c r="F13" s="1">
        <f>'Data Input'!B2</f>
        <v>1000</v>
      </c>
      <c r="G13">
        <v>0</v>
      </c>
      <c r="H13">
        <f>0</f>
        <v>0</v>
      </c>
      <c r="K13">
        <v>0</v>
      </c>
      <c r="L13">
        <v>0</v>
      </c>
      <c r="M13" cm="1">
        <f t="array" ref="M13">SUM($F$6:$G$6*$F$5:$G$5*(1-$F$5:$G$5)^(D14-1))</f>
        <v>0.14662250662681317</v>
      </c>
      <c r="N13">
        <f>F4</f>
        <v>1000</v>
      </c>
    </row>
    <row r="14" spans="1:14" x14ac:dyDescent="0.45">
      <c r="D14">
        <f>D13+1</f>
        <v>1</v>
      </c>
      <c r="F14" s="1">
        <f>'Data Input'!B3</f>
        <v>869</v>
      </c>
      <c r="G14" cm="1">
        <f t="array" ref="G14">SUM($F$6:$G$6*$F$5:$G$5*(1-$F$5:$G$5)^(D14-1))</f>
        <v>0.14662250662681317</v>
      </c>
      <c r="H14">
        <f>F13-F14</f>
        <v>131</v>
      </c>
      <c r="I14">
        <f>H14*LN(G14)</f>
        <v>-251.50611102051104</v>
      </c>
      <c r="K14">
        <f>K13+1</f>
        <v>1</v>
      </c>
      <c r="L14" cm="1">
        <f t="array" ref="L14">SUM($F$6:$G$6*$F$5:$G$5*(1-$F$5:$G$5)^(K14-1))</f>
        <v>0.14662250662681317</v>
      </c>
      <c r="M14">
        <f t="shared" ref="M14:M26" si="0">$F$4*L14</f>
        <v>146.62250662681316</v>
      </c>
      <c r="N14">
        <f>N13-M14</f>
        <v>853.37749337318678</v>
      </c>
    </row>
    <row r="15" spans="1:14" x14ac:dyDescent="0.45">
      <c r="D15">
        <f t="shared" ref="D15:D20" si="1">D14+1</f>
        <v>2</v>
      </c>
      <c r="F15" s="1">
        <f>'Data Input'!B4</f>
        <v>743</v>
      </c>
      <c r="G15" cm="1">
        <f t="array" ref="G15">SUM($F$6:$G$6*$F$5:$G$5*(1-$F$5:$G$5)^(D15-1))</f>
        <v>0.1099978191740326</v>
      </c>
      <c r="H15">
        <f t="shared" ref="H15:H20" si="2">F14-F15</f>
        <v>126</v>
      </c>
      <c r="I15">
        <f t="shared" ref="I15:I20" si="3">H15*LN(G15)</f>
        <v>-278.11913712368499</v>
      </c>
      <c r="K15">
        <f t="shared" ref="K15:K26" si="4">K14+1</f>
        <v>2</v>
      </c>
      <c r="L15" cm="1">
        <f t="array" ref="L15">SUM($F$6:$G$6*$F$5:$G$5*(1-$F$5:$G$5)^(K15-1))</f>
        <v>0.1099978191740326</v>
      </c>
      <c r="M15">
        <f t="shared" si="0"/>
        <v>109.9978191740326</v>
      </c>
      <c r="N15">
        <f t="shared" ref="N15:N26" si="5">N14-M15</f>
        <v>743.37967419915412</v>
      </c>
    </row>
    <row r="16" spans="1:14" x14ac:dyDescent="0.45">
      <c r="D16">
        <f t="shared" si="1"/>
        <v>3</v>
      </c>
      <c r="F16" s="1">
        <f>'Data Input'!B5</f>
        <v>653</v>
      </c>
      <c r="G16" cm="1">
        <f t="array" ref="G16">SUM($F$6:$G$6*$F$5:$G$5*(1-$F$5:$G$5)^(D16-1))</f>
        <v>8.25474182512239E-2</v>
      </c>
      <c r="H16">
        <f t="shared" si="2"/>
        <v>90</v>
      </c>
      <c r="I16">
        <f t="shared" si="3"/>
        <v>-224.49441456675933</v>
      </c>
      <c r="K16">
        <f t="shared" si="4"/>
        <v>3</v>
      </c>
      <c r="L16" cm="1">
        <f t="array" ref="L16">SUM($F$6:$G$6*$F$5:$G$5*(1-$F$5:$G$5)^(K16-1))</f>
        <v>8.25474182512239E-2</v>
      </c>
      <c r="M16">
        <f t="shared" si="0"/>
        <v>82.547418251223903</v>
      </c>
      <c r="N16">
        <f t="shared" si="5"/>
        <v>660.83225594793021</v>
      </c>
    </row>
    <row r="17" spans="4:14" x14ac:dyDescent="0.45">
      <c r="D17">
        <f t="shared" si="1"/>
        <v>4</v>
      </c>
      <c r="F17" s="1">
        <f>'Data Input'!B6</f>
        <v>593</v>
      </c>
      <c r="G17" cm="1">
        <f t="array" ref="G17">SUM($F$6:$G$6*$F$5:$G$5*(1-$F$5:$G$5)^(D17-1))</f>
        <v>6.1973168683403114E-2</v>
      </c>
      <c r="H17">
        <f t="shared" si="2"/>
        <v>60</v>
      </c>
      <c r="I17">
        <f t="shared" si="3"/>
        <v>-166.86322504661817</v>
      </c>
      <c r="K17">
        <f t="shared" si="4"/>
        <v>4</v>
      </c>
      <c r="L17" cm="1">
        <f t="array" ref="L17">SUM($F$6:$G$6*$F$5:$G$5*(1-$F$5:$G$5)^(K17-1))</f>
        <v>6.1973168683403114E-2</v>
      </c>
      <c r="M17">
        <f t="shared" si="0"/>
        <v>61.973168683403117</v>
      </c>
      <c r="N17">
        <f t="shared" si="5"/>
        <v>598.85908726452703</v>
      </c>
    </row>
    <row r="18" spans="4:14" x14ac:dyDescent="0.45">
      <c r="D18">
        <f t="shared" si="1"/>
        <v>5</v>
      </c>
      <c r="F18" s="1">
        <f>'Data Input'!B7</f>
        <v>551</v>
      </c>
      <c r="G18" cm="1">
        <f t="array" ref="G18">SUM($F$6:$G$6*$F$5:$G$5*(1-$F$5:$G$5)^(D18-1))</f>
        <v>4.6552612270903154E-2</v>
      </c>
      <c r="H18">
        <f t="shared" si="2"/>
        <v>42</v>
      </c>
      <c r="I18">
        <f t="shared" si="3"/>
        <v>-128.82123069085759</v>
      </c>
      <c r="K18">
        <f t="shared" si="4"/>
        <v>5</v>
      </c>
      <c r="L18" cm="1">
        <f t="array" ref="L18">SUM($F$6:$G$6*$F$5:$G$5*(1-$F$5:$G$5)^(K18-1))</f>
        <v>4.6552612270903154E-2</v>
      </c>
      <c r="M18">
        <f t="shared" si="0"/>
        <v>46.552612270903154</v>
      </c>
      <c r="N18">
        <f t="shared" si="5"/>
        <v>552.30647499362385</v>
      </c>
    </row>
    <row r="19" spans="4:14" x14ac:dyDescent="0.45">
      <c r="D19">
        <f t="shared" si="1"/>
        <v>6</v>
      </c>
      <c r="F19" s="1">
        <f>'Data Input'!B8</f>
        <v>517</v>
      </c>
      <c r="G19" cm="1">
        <f t="array" ref="G19">SUM($F$6:$G$6*$F$5:$G$5*(1-$F$5:$G$5)^(D19-1))</f>
        <v>3.4994762181463059E-2</v>
      </c>
      <c r="H19">
        <f t="shared" si="2"/>
        <v>34</v>
      </c>
      <c r="I19">
        <f t="shared" si="3"/>
        <v>-113.98693394209637</v>
      </c>
      <c r="K19">
        <f t="shared" si="4"/>
        <v>6</v>
      </c>
      <c r="L19" cm="1">
        <f t="array" ref="L19">SUM($F$6:$G$6*$F$5:$G$5*(1-$F$5:$G$5)^(K19-1))</f>
        <v>3.4994762181463059E-2</v>
      </c>
      <c r="M19">
        <f t="shared" si="0"/>
        <v>34.994762181463059</v>
      </c>
      <c r="N19">
        <f t="shared" si="5"/>
        <v>517.31171281216075</v>
      </c>
    </row>
    <row r="20" spans="4:14" x14ac:dyDescent="0.45">
      <c r="D20">
        <f t="shared" si="1"/>
        <v>7</v>
      </c>
      <c r="F20" s="1">
        <f>'Data Input'!B9</f>
        <v>491</v>
      </c>
      <c r="G20" cm="1">
        <f t="array" ref="G20">SUM($F$6:$G$6*$F$5:$G$5*(1-$F$5:$G$5)^(D20-1))</f>
        <v>2.6332020477763975E-2</v>
      </c>
      <c r="H20">
        <f t="shared" si="2"/>
        <v>26</v>
      </c>
      <c r="I20">
        <f t="shared" si="3"/>
        <v>-94.561208864221484</v>
      </c>
      <c r="K20">
        <f t="shared" si="4"/>
        <v>7</v>
      </c>
      <c r="L20" cm="1">
        <f t="array" ref="L20">SUM($F$6:$G$6*$F$5:$G$5*(1-$F$5:$G$5)^(K20-1))</f>
        <v>2.6332020477763975E-2</v>
      </c>
      <c r="M20">
        <f t="shared" si="0"/>
        <v>26.332020477763976</v>
      </c>
      <c r="N20">
        <f t="shared" si="5"/>
        <v>490.97969233439676</v>
      </c>
    </row>
    <row r="21" spans="4:14" x14ac:dyDescent="0.45">
      <c r="I21">
        <f>F20*LN(1-SUM(G14:G20))</f>
        <v>-349.27408331869486</v>
      </c>
      <c r="K21">
        <f t="shared" si="4"/>
        <v>8</v>
      </c>
      <c r="L21" cm="1">
        <f t="array" ref="L21">SUM($F$6:$G$6*$F$5:$G$5*(1-$F$5:$G$5)^(K21-1))</f>
        <v>1.9839170027499971E-2</v>
      </c>
      <c r="M21">
        <f t="shared" si="0"/>
        <v>19.839170027499971</v>
      </c>
      <c r="N21">
        <f t="shared" si="5"/>
        <v>471.1405223068968</v>
      </c>
    </row>
    <row r="22" spans="4:14" x14ac:dyDescent="0.45">
      <c r="K22">
        <f t="shared" si="4"/>
        <v>9</v>
      </c>
      <c r="L22" cm="1">
        <f t="array" ref="L22">SUM($F$6:$G$6*$F$5:$G$5*(1-$F$5:$G$5)^(K22-1))</f>
        <v>1.497265873250055E-2</v>
      </c>
      <c r="M22">
        <f t="shared" si="0"/>
        <v>14.97265873250055</v>
      </c>
      <c r="N22">
        <f t="shared" si="5"/>
        <v>456.16786357439622</v>
      </c>
    </row>
    <row r="23" spans="4:14" x14ac:dyDescent="0.45">
      <c r="K23">
        <f t="shared" si="4"/>
        <v>10</v>
      </c>
      <c r="L23" cm="1">
        <f t="array" ref="L23">SUM($F$6:$G$6*$F$5:$G$5*(1-$F$5:$G$5)^(K23-1))</f>
        <v>1.1325092902954755E-2</v>
      </c>
      <c r="M23">
        <f t="shared" si="0"/>
        <v>11.325092902954754</v>
      </c>
      <c r="N23">
        <f t="shared" si="5"/>
        <v>444.84277067144149</v>
      </c>
    </row>
    <row r="24" spans="4:14" x14ac:dyDescent="0.45">
      <c r="K24">
        <f t="shared" si="4"/>
        <v>11</v>
      </c>
      <c r="L24" cm="1">
        <f t="array" ref="L24">SUM($F$6:$G$6*$F$5:$G$5*(1-$F$5:$G$5)^(K24-1))</f>
        <v>8.5911299248418865E-3</v>
      </c>
      <c r="M24">
        <f t="shared" si="0"/>
        <v>8.5911299248418871</v>
      </c>
      <c r="N24">
        <f t="shared" si="5"/>
        <v>436.25164074659961</v>
      </c>
    </row>
    <row r="25" spans="4:14" x14ac:dyDescent="0.45">
      <c r="K25">
        <f t="shared" si="4"/>
        <v>12</v>
      </c>
      <c r="L25" cm="1">
        <f t="array" ref="L25">SUM($F$6:$G$6*$F$5:$G$5*(1-$F$5:$G$5)^(K25-1))</f>
        <v>6.5419147268162151E-3</v>
      </c>
      <c r="M25">
        <f t="shared" si="0"/>
        <v>6.5419147268162154</v>
      </c>
      <c r="N25">
        <f t="shared" si="5"/>
        <v>429.70972601978337</v>
      </c>
    </row>
    <row r="26" spans="4:14" x14ac:dyDescent="0.45">
      <c r="K26">
        <f t="shared" si="4"/>
        <v>13</v>
      </c>
      <c r="L26" cm="1">
        <f t="array" ref="L26">SUM($F$6:$G$6*$F$5:$G$5*(1-$F$5:$G$5)^(K26-1))</f>
        <v>5.0059198466645381E-3</v>
      </c>
      <c r="M26">
        <f t="shared" si="0"/>
        <v>5.005919846664538</v>
      </c>
      <c r="N26">
        <f t="shared" si="5"/>
        <v>424.70380617311883</v>
      </c>
    </row>
  </sheetData>
  <mergeCells count="1">
    <mergeCell ref="D11:I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2C63-5BEA-4B5F-A109-5D4B7F255EA8}">
  <dimension ref="A1:O25"/>
  <sheetViews>
    <sheetView zoomScale="56" zoomScaleNormal="56" workbookViewId="0">
      <selection activeCell="Q1" sqref="Q1"/>
    </sheetView>
  </sheetViews>
  <sheetFormatPr defaultRowHeight="14.25" x14ac:dyDescent="0.45"/>
  <cols>
    <col min="1" max="5" width="2.59765625" customWidth="1"/>
    <col min="6" max="9" width="15.59765625" customWidth="1"/>
    <col min="10" max="10" width="2.59765625" customWidth="1"/>
    <col min="11" max="15" width="15.59765625" customWidth="1"/>
  </cols>
  <sheetData>
    <row r="1" spans="1:15" x14ac:dyDescent="0.45">
      <c r="B1" s="7" t="s">
        <v>55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1:15" x14ac:dyDescent="0.45">
      <c r="A3" t="s">
        <v>38</v>
      </c>
      <c r="B3" t="s">
        <v>50</v>
      </c>
    </row>
    <row r="4" spans="1:15" x14ac:dyDescent="0.45">
      <c r="C4" t="s">
        <v>51</v>
      </c>
      <c r="F4">
        <v>1000</v>
      </c>
    </row>
    <row r="5" spans="1:15" x14ac:dyDescent="0.45">
      <c r="C5" t="s">
        <v>58</v>
      </c>
      <c r="F5">
        <v>0.66808834967143271</v>
      </c>
    </row>
    <row r="6" spans="1:15" x14ac:dyDescent="0.45">
      <c r="C6" t="s">
        <v>59</v>
      </c>
      <c r="F6">
        <v>3.8060949507682791</v>
      </c>
    </row>
    <row r="7" spans="1:15" x14ac:dyDescent="0.45">
      <c r="C7" t="s">
        <v>40</v>
      </c>
      <c r="F7">
        <f>SUM(I13:I20)</f>
        <v>-1611.1581473911563</v>
      </c>
    </row>
    <row r="9" spans="1:15" x14ac:dyDescent="0.45">
      <c r="A9" t="s">
        <v>38</v>
      </c>
      <c r="B9" t="s">
        <v>41</v>
      </c>
    </row>
    <row r="10" spans="1:15" x14ac:dyDescent="0.45">
      <c r="D10" s="11" t="s">
        <v>47</v>
      </c>
      <c r="E10" s="11"/>
      <c r="F10" s="11"/>
      <c r="G10" s="11"/>
      <c r="H10" s="11"/>
      <c r="I10" s="11"/>
      <c r="K10" s="11" t="s">
        <v>48</v>
      </c>
      <c r="L10" s="11"/>
      <c r="M10" s="11"/>
      <c r="N10" s="11"/>
      <c r="O10" s="11"/>
    </row>
    <row r="11" spans="1:15" x14ac:dyDescent="0.45">
      <c r="D11" s="8" t="s">
        <v>0</v>
      </c>
      <c r="E11" s="8"/>
      <c r="F11" s="8" t="s">
        <v>43</v>
      </c>
      <c r="G11" s="8" t="s">
        <v>45</v>
      </c>
      <c r="H11" s="8" t="s">
        <v>44</v>
      </c>
      <c r="I11" s="8" t="s">
        <v>46</v>
      </c>
      <c r="K11" s="8" t="s">
        <v>0</v>
      </c>
      <c r="L11" s="8" t="s">
        <v>42</v>
      </c>
      <c r="M11" s="8" t="s">
        <v>49</v>
      </c>
      <c r="N11" s="8" t="s">
        <v>1</v>
      </c>
      <c r="O11" s="8" t="s">
        <v>60</v>
      </c>
    </row>
    <row r="12" spans="1:15" x14ac:dyDescent="0.45">
      <c r="D12">
        <v>0</v>
      </c>
      <c r="F12" s="1">
        <f>'Data Input'!B2</f>
        <v>1000</v>
      </c>
      <c r="G12">
        <v>0</v>
      </c>
      <c r="H12">
        <f>0</f>
        <v>0</v>
      </c>
      <c r="K12">
        <v>0</v>
      </c>
      <c r="L12">
        <v>0</v>
      </c>
      <c r="M12">
        <v>0</v>
      </c>
      <c r="N12">
        <f>F4</f>
        <v>1000</v>
      </c>
    </row>
    <row r="13" spans="1:15" x14ac:dyDescent="0.45">
      <c r="D13">
        <f>D12+1</f>
        <v>1</v>
      </c>
      <c r="F13" s="1">
        <f>'Data Input'!B3</f>
        <v>869</v>
      </c>
      <c r="G13">
        <f>$F$5/($F$5+$F$6)</f>
        <v>0.14932073739709648</v>
      </c>
      <c r="H13">
        <f>F12-F13</f>
        <v>131</v>
      </c>
      <c r="I13">
        <f>H13*LN(G13)</f>
        <v>-249.11728794198481</v>
      </c>
      <c r="K13">
        <f>K12+1</f>
        <v>1</v>
      </c>
      <c r="L13">
        <f>$F$5/($F$5+$F$6)</f>
        <v>0.14932073739709648</v>
      </c>
      <c r="M13">
        <f t="shared" ref="M13:M25" si="0">$F$4*L13</f>
        <v>149.32073739709648</v>
      </c>
      <c r="N13">
        <f>N12-M13</f>
        <v>850.67926260290346</v>
      </c>
      <c r="O13">
        <f t="shared" ref="O13:O25" si="1">($F$6+K13-1)/($F$5+$F$6+K13-1)</f>
        <v>0.85067926260290339</v>
      </c>
    </row>
    <row r="14" spans="1:15" x14ac:dyDescent="0.45">
      <c r="D14">
        <f t="shared" ref="D14:D19" si="2">D13+1</f>
        <v>2</v>
      </c>
      <c r="F14" s="1">
        <f>'Data Input'!B4</f>
        <v>743</v>
      </c>
      <c r="G14">
        <f>G13*($F$6+D14-2)/($F$5+$F$6+D14-1)</f>
        <v>0.10381985283657458</v>
      </c>
      <c r="H14">
        <f t="shared" ref="H14:H19" si="3">F13-F14</f>
        <v>126</v>
      </c>
      <c r="I14">
        <f t="shared" ref="I14:I19" si="4">H14*LN(G14)</f>
        <v>-285.40235632486247</v>
      </c>
      <c r="K14">
        <f t="shared" ref="K14:K25" si="5">K13+1</f>
        <v>2</v>
      </c>
      <c r="L14">
        <f>L13*($F$6+K14-2)/($F$5+$F$6+K14-1)</f>
        <v>0.10381985283657458</v>
      </c>
      <c r="M14">
        <f t="shared" si="0"/>
        <v>103.81985283657458</v>
      </c>
      <c r="N14">
        <f t="shared" ref="N14:N25" si="6">N13-M14</f>
        <v>746.85940976632889</v>
      </c>
      <c r="O14">
        <f t="shared" si="1"/>
        <v>0.87795652556651338</v>
      </c>
    </row>
    <row r="15" spans="1:15" x14ac:dyDescent="0.45">
      <c r="D15">
        <f t="shared" si="2"/>
        <v>3</v>
      </c>
      <c r="F15" s="1">
        <f>'Data Input'!B5</f>
        <v>653</v>
      </c>
      <c r="G15">
        <f t="shared" ref="G15:G19" si="7">G14*($F$6+D15-2)/($F$5+$F$6+D15-1)</f>
        <v>7.7070426855766969E-2</v>
      </c>
      <c r="H15">
        <f t="shared" si="3"/>
        <v>90</v>
      </c>
      <c r="I15">
        <f t="shared" si="4"/>
        <v>-230.6732076595103</v>
      </c>
      <c r="K15">
        <f t="shared" si="5"/>
        <v>3</v>
      </c>
      <c r="L15">
        <f t="shared" ref="L15:L25" si="8">L14*($F$6+K15-2)/($F$5+$F$6+K15-1)</f>
        <v>7.7070426855766969E-2</v>
      </c>
      <c r="M15">
        <f t="shared" si="0"/>
        <v>77.070426855766968</v>
      </c>
      <c r="N15">
        <f t="shared" si="6"/>
        <v>669.78898291056191</v>
      </c>
      <c r="O15">
        <f t="shared" si="1"/>
        <v>0.89680731627940502</v>
      </c>
    </row>
    <row r="16" spans="1:15" x14ac:dyDescent="0.45">
      <c r="D16">
        <f t="shared" si="2"/>
        <v>4</v>
      </c>
      <c r="F16" s="1">
        <f>'Data Input'!B6</f>
        <v>593</v>
      </c>
      <c r="G16">
        <f t="shared" si="7"/>
        <v>5.9869847745706084E-2</v>
      </c>
      <c r="H16">
        <f t="shared" si="3"/>
        <v>60</v>
      </c>
      <c r="I16">
        <f t="shared" si="4"/>
        <v>-168.93493662778113</v>
      </c>
      <c r="K16">
        <f t="shared" si="5"/>
        <v>4</v>
      </c>
      <c r="L16">
        <f t="shared" si="8"/>
        <v>5.9869847745706084E-2</v>
      </c>
      <c r="M16">
        <f t="shared" si="0"/>
        <v>59.869847745706082</v>
      </c>
      <c r="N16">
        <f t="shared" si="6"/>
        <v>609.91913516485579</v>
      </c>
      <c r="O16">
        <f t="shared" si="1"/>
        <v>0.91061386604846462</v>
      </c>
    </row>
    <row r="17" spans="4:15" x14ac:dyDescent="0.45">
      <c r="D17">
        <f t="shared" si="2"/>
        <v>5</v>
      </c>
      <c r="F17" s="1">
        <f>'Data Input'!B7</f>
        <v>551</v>
      </c>
      <c r="G17">
        <f t="shared" si="7"/>
        <v>4.8084854197592397E-2</v>
      </c>
      <c r="H17">
        <f t="shared" si="3"/>
        <v>42</v>
      </c>
      <c r="I17">
        <f t="shared" si="4"/>
        <v>-127.46109738612435</v>
      </c>
      <c r="K17">
        <f t="shared" si="5"/>
        <v>5</v>
      </c>
      <c r="L17">
        <f t="shared" si="8"/>
        <v>4.8084854197592397E-2</v>
      </c>
      <c r="M17">
        <f t="shared" si="0"/>
        <v>48.084854197592399</v>
      </c>
      <c r="N17">
        <f t="shared" si="6"/>
        <v>561.83428096726334</v>
      </c>
      <c r="O17">
        <f t="shared" si="1"/>
        <v>0.92116191897374156</v>
      </c>
    </row>
    <row r="18" spans="4:15" x14ac:dyDescent="0.45">
      <c r="D18">
        <f t="shared" si="2"/>
        <v>6</v>
      </c>
      <c r="F18" s="1">
        <f>'Data Input'!B8</f>
        <v>517</v>
      </c>
      <c r="G18">
        <f t="shared" si="7"/>
        <v>3.9618711783086791E-2</v>
      </c>
      <c r="H18">
        <f t="shared" si="3"/>
        <v>34</v>
      </c>
      <c r="I18">
        <f t="shared" si="4"/>
        <v>-109.76742758666931</v>
      </c>
      <c r="K18">
        <f t="shared" si="5"/>
        <v>6</v>
      </c>
      <c r="L18">
        <f t="shared" si="8"/>
        <v>3.9618711783086791E-2</v>
      </c>
      <c r="M18">
        <f t="shared" si="0"/>
        <v>39.618711783086788</v>
      </c>
      <c r="N18">
        <f t="shared" si="6"/>
        <v>522.2155691841765</v>
      </c>
      <c r="O18">
        <f t="shared" si="1"/>
        <v>0.92948327803195185</v>
      </c>
    </row>
    <row r="19" spans="4:15" x14ac:dyDescent="0.45">
      <c r="D19">
        <f t="shared" si="2"/>
        <v>7</v>
      </c>
      <c r="F19" s="1">
        <f>'Data Input'!B9</f>
        <v>491</v>
      </c>
      <c r="G19">
        <f t="shared" si="7"/>
        <v>3.3309149532865054E-2</v>
      </c>
      <c r="H19">
        <f t="shared" si="3"/>
        <v>26</v>
      </c>
      <c r="I19">
        <f t="shared" si="4"/>
        <v>-88.450002133710399</v>
      </c>
      <c r="K19">
        <f t="shared" si="5"/>
        <v>7</v>
      </c>
      <c r="L19">
        <f t="shared" si="8"/>
        <v>3.3309149532865054E-2</v>
      </c>
      <c r="M19">
        <f t="shared" si="0"/>
        <v>33.309149532865057</v>
      </c>
      <c r="N19">
        <f t="shared" si="6"/>
        <v>488.90641965131147</v>
      </c>
      <c r="O19">
        <f t="shared" si="1"/>
        <v>0.93621570956817368</v>
      </c>
    </row>
    <row r="20" spans="4:15" x14ac:dyDescent="0.45">
      <c r="I20">
        <f>F19*LN(1-SUM(G13:G19))</f>
        <v>-351.35183173051365</v>
      </c>
      <c r="K20">
        <f t="shared" si="5"/>
        <v>8</v>
      </c>
      <c r="L20">
        <f t="shared" si="8"/>
        <v>2.846674787181554E-2</v>
      </c>
      <c r="M20">
        <f t="shared" si="0"/>
        <v>28.466747871815542</v>
      </c>
      <c r="N20">
        <f t="shared" si="6"/>
        <v>460.43967177949594</v>
      </c>
      <c r="O20">
        <f t="shared" si="1"/>
        <v>0.94177464903791197</v>
      </c>
    </row>
    <row r="21" spans="4:15" x14ac:dyDescent="0.45">
      <c r="K21">
        <f t="shared" si="5"/>
        <v>9</v>
      </c>
      <c r="L21">
        <f t="shared" si="8"/>
        <v>2.4660081789208293E-2</v>
      </c>
      <c r="M21">
        <f t="shared" si="0"/>
        <v>24.660081789208292</v>
      </c>
      <c r="N21">
        <f t="shared" si="6"/>
        <v>435.77958999028766</v>
      </c>
      <c r="O21">
        <f t="shared" si="1"/>
        <v>0.9464423174182568</v>
      </c>
    </row>
    <row r="22" spans="4:15" x14ac:dyDescent="0.45">
      <c r="K22">
        <f t="shared" si="5"/>
        <v>10</v>
      </c>
      <c r="L22">
        <f t="shared" si="8"/>
        <v>2.1607192109936928E-2</v>
      </c>
      <c r="M22">
        <f t="shared" si="0"/>
        <v>21.607192109936928</v>
      </c>
      <c r="N22">
        <f t="shared" si="6"/>
        <v>414.17239788035073</v>
      </c>
      <c r="O22">
        <f t="shared" si="1"/>
        <v>0.95041715443713537</v>
      </c>
    </row>
    <row r="23" spans="4:15" x14ac:dyDescent="0.45">
      <c r="K23">
        <f t="shared" si="5"/>
        <v>11</v>
      </c>
      <c r="L23">
        <f t="shared" si="8"/>
        <v>1.9117054692193759E-2</v>
      </c>
      <c r="M23">
        <f t="shared" si="0"/>
        <v>19.117054692193758</v>
      </c>
      <c r="N23">
        <f t="shared" si="6"/>
        <v>395.055343188157</v>
      </c>
      <c r="O23">
        <f t="shared" si="1"/>
        <v>0.95384276018867775</v>
      </c>
    </row>
    <row r="24" spans="4:15" x14ac:dyDescent="0.45">
      <c r="K24">
        <f t="shared" si="5"/>
        <v>12</v>
      </c>
      <c r="L24">
        <f t="shared" si="8"/>
        <v>1.7056271541772253E-2</v>
      </c>
      <c r="M24">
        <f t="shared" si="0"/>
        <v>17.056271541772254</v>
      </c>
      <c r="N24">
        <f t="shared" si="6"/>
        <v>377.99907164638472</v>
      </c>
      <c r="O24">
        <f t="shared" si="1"/>
        <v>0.9568256148515154</v>
      </c>
    </row>
    <row r="25" spans="4:15" x14ac:dyDescent="0.45">
      <c r="K25">
        <f t="shared" si="5"/>
        <v>13</v>
      </c>
      <c r="L25">
        <f t="shared" si="8"/>
        <v>1.5329244026732811E-2</v>
      </c>
      <c r="M25">
        <f t="shared" si="0"/>
        <v>15.329244026732811</v>
      </c>
      <c r="N25">
        <f t="shared" si="6"/>
        <v>362.66982761965193</v>
      </c>
      <c r="O25">
        <f t="shared" si="1"/>
        <v>0.95944634477548874</v>
      </c>
    </row>
  </sheetData>
  <mergeCells count="2">
    <mergeCell ref="D10:I10"/>
    <mergeCell ref="K10:O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E247-1B80-45C4-97A3-688E712F004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0ABD873F35945B965BF07AF146E4B" ma:contentTypeVersion="6" ma:contentTypeDescription="Create a new document." ma:contentTypeScope="" ma:versionID="10a8b5f638a814c79ff9984721da7282">
  <xsd:schema xmlns:xsd="http://www.w3.org/2001/XMLSchema" xmlns:xs="http://www.w3.org/2001/XMLSchema" xmlns:p="http://schemas.microsoft.com/office/2006/metadata/properties" xmlns:ns3="c644bb98-eb69-4e31-8ff6-688ed52c12b3" targetNamespace="http://schemas.microsoft.com/office/2006/metadata/properties" ma:root="true" ma:fieldsID="d8aa868125dc56e9768dad51532d8e8f" ns3:_="">
    <xsd:import namespace="c644bb98-eb69-4e31-8ff6-688ed52c12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4bb98-eb69-4e31-8ff6-688ed52c1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44bb98-eb69-4e31-8ff6-688ed52c12b3" xsi:nil="true"/>
  </documentManagement>
</p:properties>
</file>

<file path=customXml/itemProps1.xml><?xml version="1.0" encoding="utf-8"?>
<ds:datastoreItem xmlns:ds="http://schemas.openxmlformats.org/officeDocument/2006/customXml" ds:itemID="{E5B9374F-3DA9-4501-AC2D-FFCEC17FE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592291-AA85-493D-A95B-2C4BBCDD8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44bb98-eb69-4e31-8ff6-688ed52c12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84E239-833B-4D8A-B743-ACCE6314A224}">
  <ds:schemaRefs>
    <ds:schemaRef ds:uri="c644bb98-eb69-4e31-8ff6-688ed52c12b3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Input</vt:lpstr>
      <vt:lpstr>Regression</vt:lpstr>
      <vt:lpstr>Shifted Geometric</vt:lpstr>
      <vt:lpstr>Shifted Geometric - Segmented</vt:lpstr>
      <vt:lpstr>Shifted Beta Geometric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Frank</dc:creator>
  <cp:lastModifiedBy>Ma, Frank</cp:lastModifiedBy>
  <dcterms:created xsi:type="dcterms:W3CDTF">2024-11-10T01:13:30Z</dcterms:created>
  <dcterms:modified xsi:type="dcterms:W3CDTF">2024-11-10T22:17:16Z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0x0101004E30ABD873F35945B965BF07AF146E4B</vt:lpwstr>
  </property>
</Properties>
</file>