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utojqf\"/>
    </mc:Choice>
  </mc:AlternateContent>
  <xr:revisionPtr revIDLastSave="0" documentId="13_ncr:1_{F3D6D4E7-50A9-4F5C-948F-A04CDAB6D78E}" xr6:coauthVersionLast="47" xr6:coauthVersionMax="47" xr10:uidLastSave="{00000000-0000-0000-0000-000000000000}"/>
  <bookViews>
    <workbookView xWindow="-28920" yWindow="-120" windowWidth="29040" windowHeight="15840" firstSheet="1" activeTab="3" xr2:uid="{00000000-000D-0000-FFFF-FFFF00000000}"/>
  </bookViews>
  <sheets>
    <sheet name="版本说明" sheetId="1" r:id="rId1"/>
    <sheet name="叶片数据输入" sheetId="2" r:id="rId2"/>
    <sheet name="导叶计算过程" sheetId="3" r:id="rId3"/>
    <sheet name="动叶计算过程" sheetId="4" r:id="rId4"/>
    <sheet name="导叶绘图表" sheetId="5" r:id="rId5"/>
    <sheet name="首导叶绘图表" sheetId="6" r:id="rId6"/>
    <sheet name="末导叶绘图表" sheetId="7" r:id="rId7"/>
    <sheet name="末导叶根绘图表" sheetId="8" r:id="rId8"/>
    <sheet name="动叶片绘图表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5" i="7" l="1"/>
  <c r="C34" i="7"/>
  <c r="C27" i="7"/>
  <c r="C11" i="8"/>
  <c r="C10" i="8"/>
  <c r="C7" i="8"/>
  <c r="C6" i="8"/>
  <c r="C14" i="9"/>
  <c r="C4" i="9"/>
  <c r="C6" i="9"/>
  <c r="C5" i="9"/>
  <c r="C7" i="9"/>
  <c r="C27" i="5"/>
  <c r="C11" i="6"/>
  <c r="C3" i="7"/>
  <c r="C21" i="7"/>
  <c r="C20" i="7"/>
  <c r="C12" i="7"/>
  <c r="C10" i="7"/>
  <c r="C7" i="7"/>
  <c r="C19" i="8"/>
  <c r="C17" i="8"/>
  <c r="C16" i="8"/>
  <c r="C9" i="8"/>
  <c r="C5" i="8"/>
  <c r="C3" i="8"/>
  <c r="C27" i="9"/>
  <c r="B30" i="4"/>
  <c r="A2" i="9" s="1"/>
  <c r="C6" i="4"/>
  <c r="B48" i="3"/>
  <c r="C11" i="3" s="1"/>
  <c r="X43" i="2"/>
  <c r="O43" i="2"/>
  <c r="X42" i="2"/>
  <c r="O42" i="2"/>
  <c r="X41" i="2"/>
  <c r="O41" i="2"/>
  <c r="X40" i="2"/>
  <c r="O40" i="2"/>
  <c r="X39" i="2"/>
  <c r="O39" i="2"/>
  <c r="X38" i="2"/>
  <c r="O38" i="2"/>
  <c r="X37" i="2"/>
  <c r="O37" i="2"/>
  <c r="X36" i="2"/>
  <c r="O36" i="2"/>
  <c r="X35" i="2"/>
  <c r="O35" i="2"/>
  <c r="X34" i="2"/>
  <c r="O34" i="2"/>
  <c r="X33" i="2"/>
  <c r="O33" i="2"/>
  <c r="X32" i="2"/>
  <c r="O32" i="2"/>
  <c r="X31" i="2"/>
  <c r="O31" i="2"/>
  <c r="X30" i="2"/>
  <c r="Q30" i="2"/>
  <c r="P30" i="2"/>
  <c r="Z30" i="2" s="1"/>
  <c r="O30" i="2"/>
  <c r="I30" i="2"/>
  <c r="H30" i="2"/>
  <c r="Y29" i="2"/>
  <c r="X29" i="2"/>
  <c r="Q29" i="2"/>
  <c r="P29" i="2"/>
  <c r="W29" i="2" s="1"/>
  <c r="O29" i="2"/>
  <c r="I29" i="2"/>
  <c r="H29" i="2"/>
  <c r="V29" i="2" s="1"/>
  <c r="G29" i="2"/>
  <c r="X28" i="2"/>
  <c r="Q28" i="2"/>
  <c r="P28" i="2"/>
  <c r="W28" i="2" s="1"/>
  <c r="O28" i="2"/>
  <c r="I28" i="2"/>
  <c r="H28" i="2"/>
  <c r="V28" i="2" s="1"/>
  <c r="X27" i="2"/>
  <c r="W27" i="2"/>
  <c r="Q27" i="2"/>
  <c r="P27" i="2"/>
  <c r="Z27" i="2" s="1"/>
  <c r="O27" i="2"/>
  <c r="I27" i="2"/>
  <c r="H27" i="2"/>
  <c r="V27" i="2" s="1"/>
  <c r="X26" i="2"/>
  <c r="W26" i="2"/>
  <c r="V26" i="2"/>
  <c r="Q26" i="2"/>
  <c r="P26" i="2"/>
  <c r="Z26" i="2" s="1"/>
  <c r="O26" i="2"/>
  <c r="I26" i="2"/>
  <c r="H26" i="2"/>
  <c r="Y26" i="2" s="1"/>
  <c r="G26" i="2"/>
  <c r="X25" i="2"/>
  <c r="W25" i="2"/>
  <c r="V25" i="2"/>
  <c r="Q25" i="2"/>
  <c r="P25" i="2"/>
  <c r="Z25" i="2" s="1"/>
  <c r="O25" i="2"/>
  <c r="I25" i="2"/>
  <c r="H25" i="2"/>
  <c r="Y25" i="2" s="1"/>
  <c r="G25" i="2"/>
  <c r="X24" i="2"/>
  <c r="V24" i="2"/>
  <c r="Q24" i="2"/>
  <c r="P24" i="2"/>
  <c r="Z24" i="2" s="1"/>
  <c r="O24" i="2"/>
  <c r="I24" i="2"/>
  <c r="H24" i="2"/>
  <c r="Y24" i="2" s="1"/>
  <c r="G24" i="2"/>
  <c r="X23" i="2"/>
  <c r="Q23" i="2"/>
  <c r="P23" i="2"/>
  <c r="W23" i="2" s="1"/>
  <c r="O23" i="2"/>
  <c r="I23" i="2"/>
  <c r="H23" i="2"/>
  <c r="V23" i="2" s="1"/>
  <c r="X22" i="2"/>
  <c r="Q22" i="2"/>
  <c r="P22" i="2"/>
  <c r="W22" i="2" s="1"/>
  <c r="O22" i="2"/>
  <c r="I22" i="2"/>
  <c r="H22" i="2"/>
  <c r="V22" i="2" s="1"/>
  <c r="X21" i="2"/>
  <c r="W21" i="2"/>
  <c r="Q21" i="2"/>
  <c r="P21" i="2"/>
  <c r="Z21" i="2" s="1"/>
  <c r="O21" i="2"/>
  <c r="I21" i="2"/>
  <c r="H21" i="2"/>
  <c r="V21" i="2" s="1"/>
  <c r="X20" i="2"/>
  <c r="W20" i="2"/>
  <c r="V20" i="2"/>
  <c r="Q20" i="2"/>
  <c r="P20" i="2"/>
  <c r="Z20" i="2" s="1"/>
  <c r="O20" i="2"/>
  <c r="I20" i="2"/>
  <c r="H20" i="2"/>
  <c r="Y20" i="2" s="1"/>
  <c r="G20" i="2"/>
  <c r="X19" i="2"/>
  <c r="W19" i="2"/>
  <c r="V19" i="2"/>
  <c r="Q19" i="2"/>
  <c r="P19" i="2"/>
  <c r="Z19" i="2" s="1"/>
  <c r="O19" i="2"/>
  <c r="I19" i="2"/>
  <c r="H19" i="2"/>
  <c r="Y19" i="2" s="1"/>
  <c r="G19" i="2"/>
  <c r="X18" i="2"/>
  <c r="V18" i="2"/>
  <c r="Q18" i="2"/>
  <c r="P18" i="2"/>
  <c r="Z18" i="2" s="1"/>
  <c r="O18" i="2"/>
  <c r="I18" i="2"/>
  <c r="H18" i="2"/>
  <c r="Y18" i="2" s="1"/>
  <c r="G18" i="2"/>
  <c r="X17" i="2"/>
  <c r="Q17" i="2"/>
  <c r="P17" i="2"/>
  <c r="W17" i="2" s="1"/>
  <c r="O17" i="2"/>
  <c r="I17" i="2"/>
  <c r="H17" i="2"/>
  <c r="V17" i="2" s="1"/>
  <c r="X16" i="2"/>
  <c r="Q16" i="2"/>
  <c r="P16" i="2"/>
  <c r="W16" i="2" s="1"/>
  <c r="O16" i="2"/>
  <c r="I16" i="2"/>
  <c r="H16" i="2"/>
  <c r="V16" i="2" s="1"/>
  <c r="X15" i="2"/>
  <c r="W15" i="2"/>
  <c r="Q15" i="2"/>
  <c r="P15" i="2"/>
  <c r="Z15" i="2" s="1"/>
  <c r="O15" i="2"/>
  <c r="I15" i="2"/>
  <c r="H15" i="2"/>
  <c r="V15" i="2" s="1"/>
  <c r="X14" i="2"/>
  <c r="W14" i="2"/>
  <c r="V14" i="2"/>
  <c r="Q14" i="2"/>
  <c r="P14" i="2"/>
  <c r="Z14" i="2" s="1"/>
  <c r="O14" i="2"/>
  <c r="I14" i="2"/>
  <c r="H14" i="2"/>
  <c r="Y14" i="2" s="1"/>
  <c r="G14" i="2"/>
  <c r="X13" i="2"/>
  <c r="W13" i="2"/>
  <c r="V13" i="2"/>
  <c r="Q13" i="2"/>
  <c r="P13" i="2"/>
  <c r="Z13" i="2" s="1"/>
  <c r="O13" i="2"/>
  <c r="I13" i="2"/>
  <c r="H13" i="2"/>
  <c r="Y13" i="2" s="1"/>
  <c r="G13" i="2"/>
  <c r="X12" i="2"/>
  <c r="V12" i="2"/>
  <c r="Q12" i="2"/>
  <c r="P12" i="2"/>
  <c r="Z12" i="2" s="1"/>
  <c r="O12" i="2"/>
  <c r="I12" i="2"/>
  <c r="H12" i="2"/>
  <c r="Y12" i="2" s="1"/>
  <c r="G12" i="2"/>
  <c r="X11" i="2"/>
  <c r="Q11" i="2"/>
  <c r="P11" i="2"/>
  <c r="W11" i="2" s="1"/>
  <c r="O11" i="2"/>
  <c r="I11" i="2"/>
  <c r="H11" i="2"/>
  <c r="V11" i="2" s="1"/>
  <c r="X10" i="2"/>
  <c r="Q10" i="2"/>
  <c r="P10" i="2"/>
  <c r="W10" i="2" s="1"/>
  <c r="O10" i="2"/>
  <c r="I10" i="2"/>
  <c r="H10" i="2"/>
  <c r="V10" i="2" s="1"/>
  <c r="X9" i="2"/>
  <c r="W9" i="2"/>
  <c r="Q9" i="2"/>
  <c r="P9" i="2"/>
  <c r="Z9" i="2" s="1"/>
  <c r="O9" i="2"/>
  <c r="I9" i="2"/>
  <c r="H9" i="2"/>
  <c r="V9" i="2" s="1"/>
  <c r="X8" i="2"/>
  <c r="W8" i="2"/>
  <c r="V8" i="2"/>
  <c r="Q8" i="2"/>
  <c r="P8" i="2"/>
  <c r="Z8" i="2" s="1"/>
  <c r="O8" i="2"/>
  <c r="I8" i="2"/>
  <c r="H8" i="2"/>
  <c r="Y8" i="2" s="1"/>
  <c r="G8" i="2"/>
  <c r="X7" i="2"/>
  <c r="W7" i="2"/>
  <c r="V7" i="2"/>
  <c r="Q7" i="2"/>
  <c r="P7" i="2"/>
  <c r="Z7" i="2" s="1"/>
  <c r="O7" i="2"/>
  <c r="I7" i="2"/>
  <c r="H7" i="2"/>
  <c r="Y7" i="2" s="1"/>
  <c r="G7" i="2"/>
  <c r="X6" i="2"/>
  <c r="V6" i="2"/>
  <c r="Q6" i="2"/>
  <c r="P6" i="2"/>
  <c r="W6" i="2" s="1"/>
  <c r="O6" i="2"/>
  <c r="I6" i="2"/>
  <c r="H6" i="2"/>
  <c r="Y6" i="2" s="1"/>
  <c r="G6" i="2"/>
  <c r="AQ5" i="2"/>
  <c r="AP5" i="2"/>
  <c r="X5" i="2"/>
  <c r="W5" i="2"/>
  <c r="V5" i="2"/>
  <c r="Q5" i="2"/>
  <c r="P5" i="2"/>
  <c r="Z5" i="2" s="1"/>
  <c r="O5" i="2"/>
  <c r="I5" i="2"/>
  <c r="H5" i="2"/>
  <c r="Y5" i="2" s="1"/>
  <c r="G5" i="2"/>
  <c r="AQ4" i="2"/>
  <c r="AP4" i="2" s="1"/>
  <c r="X4" i="2"/>
  <c r="W4" i="2"/>
  <c r="V4" i="2"/>
  <c r="Q4" i="2"/>
  <c r="P4" i="2"/>
  <c r="Z4" i="2" s="1"/>
  <c r="O4" i="2"/>
  <c r="I4" i="2"/>
  <c r="H4" i="2"/>
  <c r="Y4" i="2" s="1"/>
  <c r="G4" i="2"/>
  <c r="C7" i="6" l="1"/>
  <c r="C33" i="5"/>
  <c r="C6" i="7"/>
  <c r="C43" i="9"/>
  <c r="C44" i="9" s="1"/>
  <c r="C25" i="9"/>
  <c r="C42" i="9"/>
  <c r="C24" i="9"/>
  <c r="B1" i="9"/>
  <c r="A4" i="9"/>
  <c r="C10" i="9"/>
  <c r="C9" i="9"/>
  <c r="Z10" i="2"/>
  <c r="Y15" i="2"/>
  <c r="Z16" i="2"/>
  <c r="Y21" i="2"/>
  <c r="Z22" i="2"/>
  <c r="Z28" i="2"/>
  <c r="G30" i="2"/>
  <c r="Y30" i="2" s="1"/>
  <c r="V30" i="2"/>
  <c r="C2" i="4"/>
  <c r="C9" i="4" s="1"/>
  <c r="A2" i="5"/>
  <c r="C34" i="9"/>
  <c r="Z6" i="2"/>
  <c r="Z11" i="2"/>
  <c r="Z17" i="2"/>
  <c r="G11" i="2"/>
  <c r="Y11" i="2" s="1"/>
  <c r="W12" i="2"/>
  <c r="G17" i="2"/>
  <c r="Y17" i="2" s="1"/>
  <c r="W18" i="2"/>
  <c r="G23" i="2"/>
  <c r="Y23" i="2" s="1"/>
  <c r="W24" i="2"/>
  <c r="W30" i="2"/>
  <c r="C2" i="3"/>
  <c r="Z23" i="2"/>
  <c r="Z29" i="2"/>
  <c r="G10" i="2"/>
  <c r="Y10" i="2" s="1"/>
  <c r="G16" i="2"/>
  <c r="Y16" i="2" s="1"/>
  <c r="G22" i="2"/>
  <c r="Y22" i="2" s="1"/>
  <c r="G28" i="2"/>
  <c r="Y28" i="2" s="1"/>
  <c r="C3" i="3"/>
  <c r="C9" i="3"/>
  <c r="G9" i="2"/>
  <c r="Y9" i="2" s="1"/>
  <c r="G15" i="2"/>
  <c r="G21" i="2"/>
  <c r="G27" i="2"/>
  <c r="Y27" i="2" s="1"/>
  <c r="C4" i="3"/>
  <c r="C10" i="3"/>
  <c r="C5" i="4"/>
  <c r="C36" i="9" s="1"/>
  <c r="C23" i="4"/>
  <c r="C26" i="9" s="1"/>
  <c r="C36" i="5" l="1"/>
  <c r="C37" i="5" s="1"/>
  <c r="A2" i="6"/>
  <c r="A2" i="8"/>
  <c r="B1" i="8" s="1"/>
  <c r="A2" i="7"/>
  <c r="C3" i="5"/>
  <c r="B1" i="5"/>
  <c r="C37" i="9"/>
  <c r="C24" i="5"/>
  <c r="C15" i="7"/>
  <c r="C14" i="6"/>
  <c r="C14" i="7"/>
  <c r="C13" i="6"/>
  <c r="C25" i="5"/>
  <c r="C13" i="7"/>
  <c r="C12" i="6"/>
  <c r="C18" i="8"/>
  <c r="C26" i="5"/>
  <c r="C9" i="5"/>
  <c r="C30" i="7"/>
  <c r="C29" i="6"/>
  <c r="C38" i="9"/>
  <c r="C20" i="9"/>
  <c r="C3" i="9"/>
  <c r="C31" i="9"/>
  <c r="C19" i="9"/>
  <c r="C7" i="4"/>
  <c r="C30" i="9"/>
  <c r="C18" i="9"/>
  <c r="C12" i="9"/>
  <c r="C39" i="9"/>
  <c r="C15" i="9"/>
  <c r="C29" i="9"/>
  <c r="C17" i="9"/>
  <c r="C3" i="4"/>
  <c r="C28" i="9"/>
  <c r="C22" i="9"/>
  <c r="C4" i="4"/>
  <c r="C16" i="7"/>
  <c r="C4" i="7"/>
  <c r="C33" i="6"/>
  <c r="C15" i="6"/>
  <c r="C9" i="6"/>
  <c r="C30" i="5"/>
  <c r="C12" i="5"/>
  <c r="C5" i="3"/>
  <c r="C9" i="7"/>
  <c r="C26" i="6"/>
  <c r="C8" i="6"/>
  <c r="C35" i="5"/>
  <c r="C23" i="5"/>
  <c r="C5" i="5"/>
  <c r="C29" i="7"/>
  <c r="C10" i="6"/>
  <c r="C6" i="3"/>
  <c r="C7" i="3" s="1"/>
  <c r="C14" i="8"/>
  <c r="C32" i="7"/>
  <c r="C26" i="7"/>
  <c r="C8" i="7"/>
  <c r="C31" i="6"/>
  <c r="C25" i="6"/>
  <c r="C34" i="5"/>
  <c r="C22" i="5"/>
  <c r="C16" i="5"/>
  <c r="C10" i="5"/>
  <c r="C4" i="5"/>
  <c r="C28" i="6"/>
  <c r="C7" i="5"/>
  <c r="C13" i="8"/>
  <c r="C25" i="7"/>
  <c r="C19" i="7"/>
  <c r="C24" i="6"/>
  <c r="C18" i="6"/>
  <c r="C6" i="6"/>
  <c r="C21" i="5"/>
  <c r="C15" i="5"/>
  <c r="C17" i="7"/>
  <c r="C34" i="6"/>
  <c r="C22" i="6"/>
  <c r="C12" i="3"/>
  <c r="C12" i="8"/>
  <c r="C24" i="7"/>
  <c r="C18" i="7"/>
  <c r="C23" i="6"/>
  <c r="C17" i="6"/>
  <c r="C5" i="6"/>
  <c r="C32" i="5"/>
  <c r="C20" i="5"/>
  <c r="C14" i="5"/>
  <c r="C23" i="7"/>
  <c r="C5" i="7"/>
  <c r="C16" i="6"/>
  <c r="C31" i="5"/>
  <c r="C13" i="5"/>
  <c r="C17" i="3" l="1"/>
  <c r="C8" i="9"/>
  <c r="C23" i="9"/>
  <c r="C37" i="3"/>
  <c r="C3" i="6" s="1"/>
  <c r="B1" i="7"/>
  <c r="C36" i="7"/>
  <c r="C12" i="4"/>
  <c r="C13" i="4" s="1"/>
  <c r="C10" i="4"/>
  <c r="C35" i="9"/>
  <c r="C6" i="5"/>
  <c r="C33" i="7"/>
  <c r="C32" i="6"/>
  <c r="C4" i="8"/>
  <c r="C8" i="8"/>
  <c r="C31" i="7"/>
  <c r="C30" i="6"/>
  <c r="C8" i="5"/>
  <c r="C18" i="4"/>
  <c r="C21" i="9"/>
  <c r="C19" i="4"/>
  <c r="C16" i="9"/>
  <c r="C8" i="4"/>
  <c r="C13" i="9"/>
  <c r="C11" i="9"/>
  <c r="B1" i="6"/>
  <c r="C35" i="6"/>
  <c r="C8" i="3"/>
  <c r="C11" i="4" l="1"/>
  <c r="C14" i="4"/>
  <c r="C28" i="7"/>
  <c r="C27" i="6"/>
  <c r="C11" i="5"/>
  <c r="C31" i="3"/>
  <c r="C32" i="3" s="1"/>
  <c r="C33" i="3" s="1"/>
  <c r="C13" i="3"/>
  <c r="C40" i="3" s="1"/>
  <c r="C21" i="4"/>
  <c r="C22" i="4" s="1"/>
  <c r="C20" i="4"/>
  <c r="C34" i="3" l="1"/>
  <c r="C14" i="3"/>
  <c r="C15" i="4"/>
  <c r="C16" i="4" s="1"/>
  <c r="C17" i="4" s="1"/>
  <c r="C41" i="9"/>
  <c r="C33" i="9"/>
  <c r="C28" i="3"/>
  <c r="C38" i="3"/>
  <c r="C4" i="6" s="1"/>
  <c r="C32" i="9" l="1"/>
  <c r="C40" i="9"/>
  <c r="C15" i="3"/>
  <c r="C18" i="3"/>
  <c r="C29" i="3"/>
  <c r="C30" i="3" s="1"/>
  <c r="C35" i="3" s="1"/>
  <c r="C19" i="6" l="1"/>
  <c r="C19" i="5"/>
  <c r="C22" i="7"/>
  <c r="C21" i="6"/>
  <c r="C15" i="8"/>
  <c r="C17" i="5"/>
  <c r="C36" i="3"/>
  <c r="C23" i="3"/>
  <c r="C16" i="3"/>
  <c r="C24" i="3"/>
  <c r="C19" i="3"/>
  <c r="C41" i="3" l="1"/>
  <c r="C18" i="5"/>
  <c r="C20" i="6"/>
  <c r="C25" i="3"/>
  <c r="C26" i="3" s="1"/>
  <c r="C27" i="3" s="1"/>
  <c r="C20" i="3"/>
  <c r="C21" i="3" s="1"/>
  <c r="C22" i="3" s="1"/>
  <c r="C28" i="5" l="1"/>
  <c r="C11" i="7"/>
  <c r="C39" i="5"/>
  <c r="C39" i="3"/>
  <c r="C29" i="5"/>
  <c r="C38" i="5"/>
</calcChain>
</file>

<file path=xl/sharedStrings.xml><?xml version="1.0" encoding="utf-8"?>
<sst xmlns="http://schemas.openxmlformats.org/spreadsheetml/2006/main" count="598" uniqueCount="302">
  <si>
    <t>版本说明</t>
  </si>
  <si>
    <t>2020.7.31黎旭</t>
  </si>
  <si>
    <t>弦长范围12.5-25，安装角范围54.8°-60.8°</t>
  </si>
  <si>
    <t>2021.6.10王金伙</t>
  </si>
  <si>
    <t>1、仅“叶片数据输入”可输入或改动数据，其余表格不得改动。</t>
  </si>
  <si>
    <t>2、叶片图绘制：a、复制叶片绘制表中红色字体数据；b、打开叶片cad模板，双击数据块，粘贴上一步复制内容并确认。C、图框选择，输入相应图号。</t>
  </si>
  <si>
    <t>3、绘制叶片图时，绘图表和cad模板从共享复制，cad图中数据块不得打散、更改。</t>
  </si>
  <si>
    <t>2021.7.7王金伙</t>
  </si>
  <si>
    <t>1、修复导叶叶根高度计算bug。</t>
  </si>
  <si>
    <t>2021.11.08王金伙</t>
  </si>
  <si>
    <t>1、25叶宽导叶标准叶根数据修正。</t>
  </si>
  <si>
    <t>2021.11.29王金伙</t>
  </si>
  <si>
    <t>1、增加弦长32叶片的叶宽、叶根等数据，</t>
  </si>
  <si>
    <t>2、增加安装角62.7、64.7数据，</t>
  </si>
  <si>
    <t>3、修正静、动叶围带间隙值，修改为与弦长相关。</t>
  </si>
  <si>
    <t>2021.12.12王金伙</t>
  </si>
  <si>
    <t>1、导叶进汽侧叶高由输入值改为计算值，</t>
  </si>
  <si>
    <t>2、动叶进汽侧叶高由输入值改为计算值，</t>
  </si>
  <si>
    <t>3、增加导叶斜角判断，</t>
  </si>
  <si>
    <t>4、增加动叶斜角判断，</t>
  </si>
  <si>
    <t>5、输入级数扩展到40级。</t>
  </si>
  <si>
    <t>2022.01.04王金伙</t>
  </si>
  <si>
    <t>1、取消进汽边输入</t>
  </si>
  <si>
    <t>2、增加叶片型线输入（由方案或者计算程序拷贝）</t>
  </si>
  <si>
    <t>3、取消叶型宽度和安装角输入</t>
  </si>
  <si>
    <t>4、增加叶片斜边判断</t>
  </si>
  <si>
    <t>2022.01.13王金伙</t>
  </si>
  <si>
    <t>1、导叶计算过程数据关联到叶片输入表</t>
  </si>
  <si>
    <t>2、补充32叶宽导叶M、N值数据</t>
  </si>
  <si>
    <t>数据输入区</t>
  </si>
  <si>
    <t>结构数据区</t>
  </si>
  <si>
    <t>选择绘图级号</t>
  </si>
  <si>
    <t>导叶数据</t>
  </si>
  <si>
    <t>动叶数据</t>
  </si>
  <si>
    <t>是否本持环首级导叶</t>
  </si>
  <si>
    <t>是否本持环末级动叶</t>
  </si>
  <si>
    <t>导叶围带与转子的间隙</t>
  </si>
  <si>
    <t>动叶围带与持环的间隙</t>
  </si>
  <si>
    <t>持环末级动叶出汽边叶根台阶高</t>
  </si>
  <si>
    <t>判断导叶斜角</t>
  </si>
  <si>
    <t>判断动叶斜角</t>
  </si>
  <si>
    <t>叶片数据</t>
  </si>
  <si>
    <t>导叶绘制数据</t>
  </si>
  <si>
    <t>动叶绘制数据</t>
  </si>
  <si>
    <t>备注</t>
  </si>
  <si>
    <t>级号</t>
  </si>
  <si>
    <t xml:space="preserve">导叶型线 </t>
  </si>
  <si>
    <t xml:space="preserve">节径Dc </t>
  </si>
  <si>
    <t>叶高hle</t>
  </si>
  <si>
    <t>数目Zc</t>
  </si>
  <si>
    <t>进汽侧叶高Hlej</t>
  </si>
  <si>
    <t>名义弦长A</t>
  </si>
  <si>
    <t>安装角</t>
  </si>
  <si>
    <t>菱形角α</t>
  </si>
  <si>
    <t xml:space="preserve">动叶型线 </t>
  </si>
  <si>
    <t xml:space="preserve">节径Da </t>
  </si>
  <si>
    <t>叶高hla</t>
  </si>
  <si>
    <t>数目Za</t>
  </si>
  <si>
    <t>进汽侧叶高hlaO</t>
  </si>
  <si>
    <t>末叶去重孔DQ</t>
  </si>
  <si>
    <t>叶片宽度A</t>
  </si>
  <si>
    <t>叶型图号</t>
  </si>
  <si>
    <t>弦长L</t>
  </si>
  <si>
    <t>叶厚YH</t>
  </si>
  <si>
    <t>叶型偏差PL1/PL2</t>
  </si>
  <si>
    <t>右边长B</t>
  </si>
  <si>
    <t>汽道圆角RLE1</t>
  </si>
  <si>
    <t>汽道圆角RLE2</t>
  </si>
  <si>
    <t>汽道圆角RLE3</t>
  </si>
  <si>
    <t>汽道圆角RLE4</t>
  </si>
  <si>
    <t>叶型右侧缩进量AB</t>
  </si>
  <si>
    <t>叶根槽宽AG</t>
  </si>
  <si>
    <t>叶根槽高HG4</t>
  </si>
  <si>
    <t>标准叶根高度</t>
  </si>
  <si>
    <t>叶根左长Hg1</t>
  </si>
  <si>
    <t>叶根右长Hg2</t>
  </si>
  <si>
    <t>围带厚W</t>
  </si>
  <si>
    <t>精加工围带厚</t>
  </si>
  <si>
    <t>叶根圆角RG1</t>
  </si>
  <si>
    <t>叶根圆角RG2</t>
  </si>
  <si>
    <t>叶根圆角RG3</t>
  </si>
  <si>
    <t>叶根轮槽图号</t>
  </si>
  <si>
    <t>叶根高HGA</t>
  </si>
  <si>
    <t>叶根T形高</t>
  </si>
  <si>
    <t>末叶去重孔高H3</t>
  </si>
  <si>
    <t>叶根圆角Rg</t>
  </si>
  <si>
    <t>叶根圆角Rg0</t>
  </si>
  <si>
    <t>末叶根底部倒角CF</t>
  </si>
  <si>
    <t>动叶底部比型线单边宽</t>
  </si>
  <si>
    <t>压力级1</t>
  </si>
  <si>
    <t>JQF-16-54.7</t>
  </si>
  <si>
    <t>JQF-16-58.7</t>
  </si>
  <si>
    <t>是</t>
  </si>
  <si>
    <t>　</t>
  </si>
  <si>
    <t>HS43024.05.06.50(JQF1-12.5)</t>
  </si>
  <si>
    <t>HS33042.25.01.18</t>
  </si>
  <si>
    <t>压力级2</t>
  </si>
  <si>
    <t>HS43024.05.06.50(JQF1-16)</t>
  </si>
  <si>
    <t>HS33042.25.01.19</t>
  </si>
  <si>
    <t>压力级3</t>
  </si>
  <si>
    <t>HS43024.05.06.50(JQF1-20)</t>
  </si>
  <si>
    <t>HS50146.25.01.29</t>
  </si>
  <si>
    <t>压力级4</t>
  </si>
  <si>
    <t>HS43024.05.06.50(JQF1-25)</t>
  </si>
  <si>
    <t>HS60100.25.01.701</t>
  </si>
  <si>
    <t>压力级5</t>
  </si>
  <si>
    <t>HS43024.05.06.50(JQF1-32)</t>
  </si>
  <si>
    <t>HS51059.25.01.701</t>
  </si>
  <si>
    <t>压力级6</t>
  </si>
  <si>
    <t>压力级7</t>
  </si>
  <si>
    <t>压力级8</t>
  </si>
  <si>
    <t>压力级9</t>
  </si>
  <si>
    <t>压力级10</t>
  </si>
  <si>
    <t>静叶叶型定位数据</t>
  </si>
  <si>
    <t>动叶叶型定位数据</t>
  </si>
  <si>
    <t>压力级11</t>
  </si>
  <si>
    <t>型线宽度ALE</t>
  </si>
  <si>
    <t>菱形角</t>
  </si>
  <si>
    <t>背弧定位距离YS</t>
  </si>
  <si>
    <t>内弧定位距离YD</t>
  </si>
  <si>
    <t>压力级12</t>
  </si>
  <si>
    <t>压力级13</t>
  </si>
  <si>
    <t>压力级14</t>
  </si>
  <si>
    <t>压力级15</t>
  </si>
  <si>
    <t>JQF-16-56.7</t>
  </si>
  <si>
    <t>压力级16</t>
  </si>
  <si>
    <t>压力级17</t>
  </si>
  <si>
    <t>压力级18</t>
  </si>
  <si>
    <t>压力级19</t>
  </si>
  <si>
    <t>压力级20</t>
  </si>
  <si>
    <t>压力级21</t>
  </si>
  <si>
    <t>JQF-20-56.7</t>
  </si>
  <si>
    <t>JQF-20-58.7</t>
  </si>
  <si>
    <t>压力级22</t>
  </si>
  <si>
    <t>压力级23</t>
  </si>
  <si>
    <t>动叶型线出汽边距离右端面距离AB</t>
  </si>
  <si>
    <t>压力级24</t>
  </si>
  <si>
    <t>JQF-25-56.7</t>
  </si>
  <si>
    <t>JQF-25-58.7</t>
  </si>
  <si>
    <t>压力级25</t>
  </si>
  <si>
    <t>压力级26</t>
  </si>
  <si>
    <t>JQF-32-58.7</t>
  </si>
  <si>
    <t>JQF-32-62.7</t>
  </si>
  <si>
    <t>压力级27</t>
  </si>
  <si>
    <t>JQF-32-60.7</t>
  </si>
  <si>
    <t>JQF-32-64.7</t>
  </si>
  <si>
    <t>压力级28</t>
  </si>
  <si>
    <t>压力级29</t>
  </si>
  <si>
    <t>压力级30</t>
  </si>
  <si>
    <t>压力级31</t>
  </si>
  <si>
    <t>压力级32</t>
  </si>
  <si>
    <t>压力级33</t>
  </si>
  <si>
    <t>压力级34</t>
  </si>
  <si>
    <t>压力级35</t>
  </si>
  <si>
    <t>导叶围带与转子间隙</t>
  </si>
  <si>
    <t>动叶围带与持环间隙</t>
  </si>
  <si>
    <t>超高b1</t>
  </si>
  <si>
    <t>超高b2</t>
  </si>
  <si>
    <t>压力级36</t>
  </si>
  <si>
    <t>压力级37</t>
  </si>
  <si>
    <t>压力级38</t>
  </si>
  <si>
    <t>压力级39</t>
  </si>
  <si>
    <t>压力级40</t>
  </si>
  <si>
    <t xml:space="preserve">操作说明：
1、仅需填写黄色区域，其中：蓝色为数据输入，红色为数据选择。
2、数据输入时，单级持环内所有动，静叶数据应保证输入完整。
3、持环总图、主轴总装图应按叶片图1:1绘制。
4、级数40不能拓展。
</t>
  </si>
  <si>
    <t>导叶M值</t>
  </si>
  <si>
    <t>导叶N值</t>
  </si>
  <si>
    <t>说明</t>
  </si>
  <si>
    <t>符号</t>
  </si>
  <si>
    <t>数值/mm/°</t>
  </si>
  <si>
    <t>计算叶片只数</t>
  </si>
  <si>
    <t>Z</t>
  </si>
  <si>
    <t>叶片节径</t>
  </si>
  <si>
    <t>D</t>
  </si>
  <si>
    <t>型线高度</t>
  </si>
  <si>
    <t>h</t>
  </si>
  <si>
    <t>型线距离顶部高度</t>
  </si>
  <si>
    <t>l</t>
  </si>
  <si>
    <t>围带厚度</t>
  </si>
  <si>
    <t>W</t>
  </si>
  <si>
    <t>叶片高度</t>
  </si>
  <si>
    <t>L</t>
  </si>
  <si>
    <t>底部直径</t>
  </si>
  <si>
    <t>φD1</t>
  </si>
  <si>
    <t>叶片宽度</t>
  </si>
  <si>
    <t>A</t>
  </si>
  <si>
    <t>α</t>
  </si>
  <si>
    <t>θ</t>
  </si>
  <si>
    <t>右边长</t>
  </si>
  <si>
    <t>B</t>
  </si>
  <si>
    <t>顶部直径</t>
  </si>
  <si>
    <t>φD2</t>
  </si>
  <si>
    <t>叶片夹角</t>
  </si>
  <si>
    <t>β</t>
  </si>
  <si>
    <t>下边竖直长</t>
  </si>
  <si>
    <t>C</t>
  </si>
  <si>
    <t>左边长</t>
  </si>
  <si>
    <t>E</t>
  </si>
  <si>
    <t>中间右边长</t>
  </si>
  <si>
    <t>B1</t>
  </si>
  <si>
    <t>中间下边竖直长</t>
  </si>
  <si>
    <t>C1</t>
  </si>
  <si>
    <t>中间左边长</t>
  </si>
  <si>
    <t>E1</t>
  </si>
  <si>
    <t>外菱形面夹角</t>
  </si>
  <si>
    <t>γ</t>
  </si>
  <si>
    <t>延长线</t>
  </si>
  <si>
    <t>F</t>
  </si>
  <si>
    <t>单边垂线</t>
  </si>
  <si>
    <t>P</t>
  </si>
  <si>
    <t>E'</t>
  </si>
  <si>
    <t>E1'</t>
  </si>
  <si>
    <t>间隙</t>
  </si>
  <si>
    <t>EN</t>
  </si>
  <si>
    <t>AN</t>
  </si>
  <si>
    <t>γ'</t>
  </si>
  <si>
    <t>F'</t>
  </si>
  <si>
    <t>Q</t>
  </si>
  <si>
    <t>叶根直径</t>
  </si>
  <si>
    <t>φD3</t>
  </si>
  <si>
    <t>E''</t>
  </si>
  <si>
    <t>叶根夹角</t>
  </si>
  <si>
    <t>δ</t>
  </si>
  <si>
    <t>型线底径</t>
  </si>
  <si>
    <t>中分面叶片夹角</t>
  </si>
  <si>
    <t>其他处叶片夹角</t>
  </si>
  <si>
    <t>等效叶片只数</t>
  </si>
  <si>
    <t>叶根槽高度增加</t>
  </si>
  <si>
    <t>叶根顶高度增加</t>
  </si>
  <si>
    <t>首导叶底部宽度</t>
  </si>
  <si>
    <t>首导叶顶部宽度</t>
  </si>
  <si>
    <t>末导叶底部宽度</t>
  </si>
  <si>
    <t>末导叶根顶部宽度</t>
  </si>
  <si>
    <t>末导叶根顶高度增加</t>
  </si>
  <si>
    <t>蓝色输入</t>
  </si>
  <si>
    <t>绿色选择</t>
  </si>
  <si>
    <t>红色结果</t>
  </si>
  <si>
    <t>黑色过程</t>
  </si>
  <si>
    <t>数值/mm</t>
  </si>
  <si>
    <t>叶片只数</t>
  </si>
  <si>
    <t>红色字体复制区域</t>
  </si>
  <si>
    <t>hleJ</t>
  </si>
  <si>
    <t>Ag</t>
  </si>
  <si>
    <t>hg1</t>
  </si>
  <si>
    <t>Hg2</t>
  </si>
  <si>
    <t>hg</t>
  </si>
  <si>
    <t>hle</t>
  </si>
  <si>
    <t>D1</t>
  </si>
  <si>
    <t>Ale</t>
  </si>
  <si>
    <t>Ab</t>
  </si>
  <si>
    <t>Rg1</t>
  </si>
  <si>
    <t>Rg2</t>
  </si>
  <si>
    <t>Rg3</t>
  </si>
  <si>
    <t>叶根夹角Δ</t>
  </si>
  <si>
    <t>hg3</t>
  </si>
  <si>
    <t>hg4</t>
  </si>
  <si>
    <t>Rle1</t>
  </si>
  <si>
    <t>Rle2</t>
  </si>
  <si>
    <t>Rle3</t>
  </si>
  <si>
    <t>Rle4</t>
  </si>
  <si>
    <t>Ys</t>
  </si>
  <si>
    <t>Yd</t>
  </si>
  <si>
    <t>Lp1</t>
  </si>
  <si>
    <t>Lp2</t>
  </si>
  <si>
    <t>安装角B</t>
  </si>
  <si>
    <t>YH</t>
  </si>
  <si>
    <t>叶型号</t>
  </si>
  <si>
    <t>叶片数</t>
  </si>
  <si>
    <t>厚叶</t>
  </si>
  <si>
    <t>PH</t>
  </si>
  <si>
    <t>QH</t>
  </si>
  <si>
    <t>SQ</t>
  </si>
  <si>
    <t>SP</t>
  </si>
  <si>
    <t>Yh</t>
  </si>
  <si>
    <t>hg2</t>
  </si>
  <si>
    <t>MQ</t>
  </si>
  <si>
    <t>MA</t>
  </si>
  <si>
    <t>hgJ</t>
  </si>
  <si>
    <t>辅助</t>
  </si>
  <si>
    <t>Ag0</t>
  </si>
  <si>
    <t>AB0</t>
  </si>
  <si>
    <t>AB</t>
  </si>
  <si>
    <t>AB1</t>
  </si>
  <si>
    <t>Hla</t>
  </si>
  <si>
    <t>Hla0</t>
  </si>
  <si>
    <t>Hg0</t>
  </si>
  <si>
    <t>Hga</t>
  </si>
  <si>
    <t>HA</t>
  </si>
  <si>
    <t>Hga1</t>
  </si>
  <si>
    <t>Rg</t>
  </si>
  <si>
    <t>DA1</t>
  </si>
  <si>
    <t>DA</t>
  </si>
  <si>
    <t>Cf</t>
  </si>
  <si>
    <t>AM</t>
  </si>
  <si>
    <t>H3</t>
  </si>
  <si>
    <t>DQ</t>
  </si>
  <si>
    <t>LP1</t>
  </si>
  <si>
    <t>LP2</t>
  </si>
  <si>
    <t>Rg0</t>
  </si>
  <si>
    <t>叶根轮槽图</t>
  </si>
  <si>
    <t>ZA（整圈片数）</t>
  </si>
  <si>
    <t>ZA1（标准片数）</t>
  </si>
  <si>
    <t>ZH(加厚片数)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</si>
</sst>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0_ "/>
    <numFmt numFmtId="177" formatCode="#,##0.000_ "/>
    <numFmt numFmtId="178" formatCode="0.000000_);[Red]\(0.000000\)"/>
    <numFmt numFmtId="179" formatCode="0.0000000000_ "/>
    <numFmt numFmtId="180" formatCode="0.00_);[Red]\(0.00\)"/>
    <numFmt numFmtId="181" formatCode="0.0000_);[Red]\(0.0000\)"/>
    <numFmt numFmtId="182" formatCode="0.00_ "/>
    <numFmt numFmtId="183" formatCode="0_ "/>
    <numFmt numFmtId="184" formatCode="0.0_ "/>
  </numFmts>
  <fonts count="23" x14ac:knownFonts="1">
    <font>
      <sz val="12"/>
      <name val="宋体"/>
      <charset val="134"/>
    </font>
    <font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rgb="FF00B050"/>
      <name val="宋体"/>
      <family val="3"/>
      <charset val="134"/>
    </font>
    <font>
      <b/>
      <sz val="12"/>
      <color rgb="FF00B0F0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8" tint="-0.249977111117893"/>
      <name val="宋体"/>
      <family val="3"/>
      <charset val="134"/>
      <scheme val="minor"/>
    </font>
    <font>
      <sz val="12"/>
      <color theme="8" tint="-0.249977111117893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4"/>
      <name val="宋体"/>
      <family val="3"/>
      <charset val="134"/>
    </font>
    <font>
      <b/>
      <sz val="12"/>
      <color rgb="FF00B050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2"/>
      <color rgb="FF3333FF"/>
      <name val="宋体"/>
      <family val="3"/>
      <charset val="134"/>
    </font>
    <font>
      <b/>
      <sz val="11"/>
      <color rgb="FF0000FF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2"/>
      <color rgb="FF0000FF"/>
      <name val="宋体"/>
      <family val="3"/>
      <charset val="134"/>
    </font>
    <font>
      <b/>
      <sz val="11"/>
      <color rgb="FF00B05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.5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21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176" fontId="4" fillId="0" borderId="0" xfId="0" applyNumberFormat="1" applyFont="1"/>
    <xf numFmtId="177" fontId="4" fillId="0" borderId="0" xfId="0" applyNumberFormat="1" applyFont="1"/>
    <xf numFmtId="178" fontId="2" fillId="0" borderId="0" xfId="0" applyNumberFormat="1" applyFont="1" applyAlignment="1">
      <alignment horizontal="center"/>
    </xf>
    <xf numFmtId="178" fontId="0" fillId="0" borderId="0" xfId="0" applyNumberFormat="1"/>
    <xf numFmtId="0" fontId="2" fillId="0" borderId="0" xfId="0" applyFont="1" applyAlignment="1">
      <alignment horizontal="center"/>
    </xf>
    <xf numFmtId="179" fontId="2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76" fontId="4" fillId="0" borderId="0" xfId="0" applyNumberFormat="1" applyFont="1" applyAlignment="1">
      <alignment horizontal="center"/>
    </xf>
    <xf numFmtId="178" fontId="4" fillId="0" borderId="0" xfId="0" applyNumberFormat="1" applyFont="1" applyAlignment="1">
      <alignment horizontal="center"/>
    </xf>
    <xf numFmtId="177" fontId="2" fillId="0" borderId="0" xfId="0" applyNumberFormat="1" applyFont="1" applyAlignment="1">
      <alignment horizontal="center"/>
    </xf>
    <xf numFmtId="177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80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181" fontId="2" fillId="0" borderId="0" xfId="0" applyNumberFormat="1" applyFont="1" applyAlignment="1">
      <alignment horizontal="center"/>
    </xf>
    <xf numFmtId="0" fontId="3" fillId="0" borderId="0" xfId="0" applyFont="1"/>
    <xf numFmtId="0" fontId="6" fillId="0" borderId="1" xfId="0" applyFont="1" applyBorder="1" applyAlignment="1">
      <alignment horizontal="center" vertical="center"/>
    </xf>
    <xf numFmtId="49" fontId="0" fillId="0" borderId="0" xfId="0" applyNumberFormat="1"/>
    <xf numFmtId="0" fontId="4" fillId="0" borderId="0" xfId="0" applyFont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4" fillId="0" borderId="1" xfId="0" applyFont="1" applyBorder="1"/>
    <xf numFmtId="0" fontId="0" fillId="0" borderId="2" xfId="0" applyBorder="1"/>
    <xf numFmtId="0" fontId="3" fillId="0" borderId="1" xfId="0" applyFont="1" applyBorder="1"/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82" fontId="4" fillId="0" borderId="4" xfId="0" applyNumberFormat="1" applyFont="1" applyBorder="1" applyAlignment="1">
      <alignment horizontal="center" vertical="center"/>
    </xf>
    <xf numFmtId="183" fontId="4" fillId="0" borderId="4" xfId="0" applyNumberFormat="1" applyFont="1" applyBorder="1" applyAlignment="1">
      <alignment horizontal="center" vertical="center"/>
    </xf>
    <xf numFmtId="182" fontId="4" fillId="0" borderId="5" xfId="0" applyNumberFormat="1" applyFont="1" applyBorder="1" applyAlignment="1">
      <alignment horizontal="center" vertical="center"/>
    </xf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7" fillId="0" borderId="1" xfId="0" applyFont="1" applyBorder="1"/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9" fillId="0" borderId="7" xfId="0" applyFont="1" applyBorder="1" applyAlignment="1">
      <alignment wrapText="1"/>
    </xf>
    <xf numFmtId="0" fontId="3" fillId="0" borderId="9" xfId="0" applyFont="1" applyBorder="1"/>
    <xf numFmtId="0" fontId="0" fillId="0" borderId="10" xfId="0" applyBorder="1"/>
    <xf numFmtId="0" fontId="3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9" xfId="0" applyBorder="1"/>
    <xf numFmtId="0" fontId="3" fillId="0" borderId="10" xfId="0" applyFont="1" applyBorder="1"/>
    <xf numFmtId="0" fontId="4" fillId="0" borderId="10" xfId="0" applyFont="1" applyBorder="1"/>
    <xf numFmtId="0" fontId="4" fillId="0" borderId="12" xfId="0" applyFont="1" applyBorder="1"/>
    <xf numFmtId="0" fontId="4" fillId="0" borderId="13" xfId="0" applyFont="1" applyBorder="1"/>
    <xf numFmtId="0" fontId="3" fillId="0" borderId="12" xfId="0" applyFont="1" applyBorder="1"/>
    <xf numFmtId="0" fontId="7" fillId="0" borderId="12" xfId="0" applyFont="1" applyBorder="1"/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82" fontId="4" fillId="0" borderId="15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  <xf numFmtId="0" fontId="0" fillId="0" borderId="17" xfId="0" applyBorder="1"/>
    <xf numFmtId="0" fontId="0" fillId="0" borderId="18" xfId="0" applyBorder="1"/>
    <xf numFmtId="0" fontId="2" fillId="0" borderId="19" xfId="0" applyFont="1" applyBorder="1"/>
    <xf numFmtId="0" fontId="4" fillId="0" borderId="5" xfId="0" applyFont="1" applyBorder="1" applyAlignment="1">
      <alignment horizontal="center" vertical="center"/>
    </xf>
    <xf numFmtId="0" fontId="2" fillId="0" borderId="17" xfId="0" applyFont="1" applyBorder="1"/>
    <xf numFmtId="0" fontId="2" fillId="0" borderId="20" xfId="0" applyFont="1" applyBorder="1"/>
    <xf numFmtId="0" fontId="4" fillId="0" borderId="21" xfId="0" applyFont="1" applyBorder="1" applyAlignment="1">
      <alignment horizontal="center" vertical="center"/>
    </xf>
    <xf numFmtId="0" fontId="0" fillId="0" borderId="19" xfId="0" applyBorder="1"/>
    <xf numFmtId="0" fontId="8" fillId="0" borderId="22" xfId="0" applyFont="1" applyBorder="1" applyAlignment="1">
      <alignment horizontal="center" vertical="center" wrapText="1"/>
    </xf>
    <xf numFmtId="0" fontId="0" fillId="0" borderId="23" xfId="0" applyBorder="1"/>
    <xf numFmtId="0" fontId="0" fillId="0" borderId="11" xfId="0" applyBorder="1"/>
    <xf numFmtId="0" fontId="2" fillId="0" borderId="0" xfId="0" applyFont="1" applyAlignment="1">
      <alignment horizontal="left" vertical="center"/>
    </xf>
    <xf numFmtId="0" fontId="8" fillId="0" borderId="17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84" fontId="4" fillId="0" borderId="4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83" fontId="4" fillId="0" borderId="24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0" fillId="0" borderId="3" xfId="0" applyBorder="1"/>
    <xf numFmtId="0" fontId="2" fillId="0" borderId="21" xfId="0" applyFont="1" applyBorder="1"/>
    <xf numFmtId="0" fontId="0" fillId="0" borderId="25" xfId="0" applyBorder="1"/>
    <xf numFmtId="0" fontId="2" fillId="0" borderId="24" xfId="0" applyFont="1" applyBorder="1"/>
    <xf numFmtId="0" fontId="3" fillId="0" borderId="24" xfId="0" applyFont="1" applyBorder="1" applyAlignment="1">
      <alignment horizontal="center" vertical="center"/>
    </xf>
    <xf numFmtId="0" fontId="0" fillId="0" borderId="26" xfId="0" applyBorder="1"/>
    <xf numFmtId="0" fontId="3" fillId="0" borderId="27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12" fillId="0" borderId="20" xfId="0" applyFont="1" applyBorder="1"/>
    <xf numFmtId="0" fontId="12" fillId="0" borderId="28" xfId="0" applyFont="1" applyBorder="1"/>
    <xf numFmtId="0" fontId="12" fillId="0" borderId="25" xfId="0" applyFont="1" applyBorder="1"/>
    <xf numFmtId="0" fontId="12" fillId="0" borderId="24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0" fillId="0" borderId="29" xfId="0" applyBorder="1"/>
    <xf numFmtId="0" fontId="2" fillId="0" borderId="18" xfId="0" applyFont="1" applyBorder="1"/>
    <xf numFmtId="0" fontId="0" fillId="0" borderId="27" xfId="0" applyBorder="1"/>
    <xf numFmtId="0" fontId="13" fillId="0" borderId="0" xfId="0" applyFont="1" applyAlignment="1">
      <alignment wrapText="1"/>
    </xf>
    <xf numFmtId="0" fontId="13" fillId="0" borderId="27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5" fillId="0" borderId="6" xfId="0" applyFont="1" applyBorder="1"/>
    <xf numFmtId="0" fontId="12" fillId="0" borderId="7" xfId="0" applyFont="1" applyBorder="1"/>
    <xf numFmtId="0" fontId="12" fillId="0" borderId="9" xfId="0" applyFont="1" applyBorder="1"/>
    <xf numFmtId="0" fontId="5" fillId="0" borderId="1" xfId="0" applyFont="1" applyBorder="1"/>
    <xf numFmtId="0" fontId="5" fillId="0" borderId="10" xfId="0" applyFont="1" applyBorder="1"/>
    <xf numFmtId="0" fontId="12" fillId="0" borderId="11" xfId="0" applyFont="1" applyBorder="1"/>
    <xf numFmtId="0" fontId="5" fillId="0" borderId="12" xfId="0" applyFont="1" applyBorder="1"/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1" xfId="0" applyFont="1" applyFill="1" applyBorder="1"/>
    <xf numFmtId="0" fontId="5" fillId="2" borderId="10" xfId="0" applyFont="1" applyFill="1" applyBorder="1"/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2" xfId="0" applyFont="1" applyBorder="1"/>
    <xf numFmtId="0" fontId="4" fillId="0" borderId="2" xfId="0" applyFont="1" applyBorder="1"/>
    <xf numFmtId="0" fontId="5" fillId="0" borderId="2" xfId="0" applyFont="1" applyBorder="1"/>
    <xf numFmtId="0" fontId="4" fillId="0" borderId="23" xfId="0" applyFont="1" applyBorder="1"/>
    <xf numFmtId="0" fontId="5" fillId="2" borderId="2" xfId="0" applyFont="1" applyFill="1" applyBorder="1"/>
    <xf numFmtId="0" fontId="14" fillId="0" borderId="9" xfId="0" applyFont="1" applyBorder="1"/>
    <xf numFmtId="0" fontId="14" fillId="0" borderId="11" xfId="0" applyFont="1" applyBorder="1"/>
    <xf numFmtId="0" fontId="12" fillId="0" borderId="29" xfId="0" applyFont="1" applyBorder="1"/>
    <xf numFmtId="0" fontId="12" fillId="0" borderId="3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22" xfId="0" applyFont="1" applyBorder="1"/>
    <xf numFmtId="0" fontId="5" fillId="0" borderId="23" xfId="0" applyFont="1" applyBorder="1"/>
    <xf numFmtId="0" fontId="2" fillId="0" borderId="6" xfId="0" applyFont="1" applyBorder="1"/>
    <xf numFmtId="0" fontId="2" fillId="0" borderId="8" xfId="0" applyFont="1" applyBorder="1"/>
    <xf numFmtId="0" fontId="3" fillId="0" borderId="0" xfId="0" applyFont="1" applyAlignment="1">
      <alignment vertical="center"/>
    </xf>
    <xf numFmtId="0" fontId="12" fillId="0" borderId="1" xfId="0" applyFont="1" applyBorder="1"/>
    <xf numFmtId="0" fontId="13" fillId="0" borderId="28" xfId="0" applyFont="1" applyBorder="1"/>
    <xf numFmtId="0" fontId="13" fillId="0" borderId="25" xfId="0" applyFont="1" applyBorder="1"/>
    <xf numFmtId="0" fontId="13" fillId="0" borderId="24" xfId="0" applyFont="1" applyBorder="1"/>
    <xf numFmtId="0" fontId="14" fillId="0" borderId="6" xfId="0" applyFont="1" applyBorder="1"/>
    <xf numFmtId="0" fontId="7" fillId="0" borderId="7" xfId="0" applyFont="1" applyBorder="1"/>
    <xf numFmtId="0" fontId="12" fillId="0" borderId="17" xfId="0" applyFont="1" applyBorder="1"/>
    <xf numFmtId="0" fontId="12" fillId="0" borderId="12" xfId="0" applyFont="1" applyBorder="1"/>
    <xf numFmtId="0" fontId="14" fillId="0" borderId="0" xfId="0" applyFont="1" applyAlignment="1">
      <alignment horizontal="left" vertical="top" wrapText="1"/>
    </xf>
    <xf numFmtId="0" fontId="13" fillId="2" borderId="27" xfId="0" applyFont="1" applyFill="1" applyBorder="1" applyAlignment="1">
      <alignment horizontal="center" vertical="center"/>
    </xf>
    <xf numFmtId="0" fontId="14" fillId="2" borderId="7" xfId="0" applyFont="1" applyFill="1" applyBorder="1"/>
    <xf numFmtId="0" fontId="14" fillId="2" borderId="33" xfId="0" applyFont="1" applyFill="1" applyBorder="1"/>
    <xf numFmtId="0" fontId="14" fillId="2" borderId="1" xfId="0" applyFont="1" applyFill="1" applyBorder="1"/>
    <xf numFmtId="0" fontId="14" fillId="2" borderId="34" xfId="0" applyFont="1" applyFill="1" applyBorder="1"/>
    <xf numFmtId="0" fontId="14" fillId="2" borderId="12" xfId="0" applyFont="1" applyFill="1" applyBorder="1"/>
    <xf numFmtId="0" fontId="14" fillId="2" borderId="8" xfId="0" applyFont="1" applyFill="1" applyBorder="1"/>
    <xf numFmtId="0" fontId="13" fillId="2" borderId="3" xfId="0" applyFont="1" applyFill="1" applyBorder="1" applyAlignment="1">
      <alignment horizontal="center" vertical="center"/>
    </xf>
    <xf numFmtId="0" fontId="14" fillId="2" borderId="10" xfId="0" applyFont="1" applyFill="1" applyBorder="1"/>
    <xf numFmtId="0" fontId="13" fillId="2" borderId="4" xfId="0" applyFont="1" applyFill="1" applyBorder="1" applyAlignment="1">
      <alignment horizontal="center" vertical="center"/>
    </xf>
    <xf numFmtId="0" fontId="14" fillId="2" borderId="13" xfId="0" applyFont="1" applyFill="1" applyBorder="1"/>
    <xf numFmtId="0" fontId="13" fillId="2" borderId="5" xfId="0" applyFont="1" applyFill="1" applyBorder="1" applyAlignment="1">
      <alignment horizontal="center" vertical="center"/>
    </xf>
    <xf numFmtId="0" fontId="15" fillId="0" borderId="42" xfId="0" applyFont="1" applyBorder="1" applyAlignment="1">
      <alignment horizontal="center" vertical="center" wrapText="1"/>
    </xf>
    <xf numFmtId="0" fontId="15" fillId="0" borderId="43" xfId="0" applyFont="1" applyBorder="1" applyAlignment="1">
      <alignment horizontal="center" vertical="center" wrapText="1"/>
    </xf>
    <xf numFmtId="0" fontId="19" fillId="0" borderId="43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 vertical="center" wrapText="1"/>
    </xf>
    <xf numFmtId="0" fontId="15" fillId="0" borderId="45" xfId="0" applyFont="1" applyBorder="1" applyAlignment="1">
      <alignment horizontal="center" vertical="center" wrapText="1"/>
    </xf>
    <xf numFmtId="0" fontId="15" fillId="0" borderId="46" xfId="0" applyFont="1" applyBorder="1" applyAlignment="1">
      <alignment horizontal="center" vertical="center" wrapText="1"/>
    </xf>
    <xf numFmtId="0" fontId="15" fillId="0" borderId="47" xfId="0" applyFont="1" applyBorder="1" applyAlignment="1">
      <alignment horizontal="center" vertical="center" wrapText="1"/>
    </xf>
    <xf numFmtId="0" fontId="19" fillId="0" borderId="46" xfId="0" applyFont="1" applyBorder="1" applyAlignment="1">
      <alignment horizontal="center" vertical="center" wrapText="1"/>
    </xf>
    <xf numFmtId="0" fontId="18" fillId="2" borderId="1" xfId="0" applyFont="1" applyFill="1" applyBorder="1"/>
    <xf numFmtId="0" fontId="18" fillId="2" borderId="12" xfId="0" applyFont="1" applyFill="1" applyBorder="1"/>
    <xf numFmtId="0" fontId="18" fillId="2" borderId="33" xfId="0" applyFont="1" applyFill="1" applyBorder="1"/>
    <xf numFmtId="0" fontId="18" fillId="2" borderId="34" xfId="0" applyFont="1" applyFill="1" applyBorder="1"/>
    <xf numFmtId="0" fontId="13" fillId="0" borderId="6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3" fillId="0" borderId="22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4" fillId="0" borderId="9" xfId="0" applyFont="1" applyBorder="1"/>
    <xf numFmtId="0" fontId="13" fillId="0" borderId="1" xfId="0" applyFont="1" applyBorder="1"/>
    <xf numFmtId="0" fontId="13" fillId="0" borderId="2" xfId="0" applyFont="1" applyBorder="1"/>
    <xf numFmtId="0" fontId="13" fillId="0" borderId="10" xfId="0" applyFont="1" applyBorder="1"/>
    <xf numFmtId="0" fontId="13" fillId="0" borderId="9" xfId="0" applyFont="1" applyBorder="1"/>
    <xf numFmtId="0" fontId="13" fillId="0" borderId="11" xfId="0" applyFont="1" applyBorder="1"/>
    <xf numFmtId="0" fontId="20" fillId="0" borderId="49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22" fillId="0" borderId="49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50" xfId="0" applyFont="1" applyBorder="1" applyAlignment="1">
      <alignment horizontal="center" vertical="center"/>
    </xf>
    <xf numFmtId="0" fontId="14" fillId="0" borderId="2" xfId="0" applyFont="1" applyBorder="1" applyAlignment="1">
      <alignment horizontal="left" vertical="top" wrapText="1"/>
    </xf>
    <xf numFmtId="0" fontId="0" fillId="0" borderId="35" xfId="0" applyBorder="1"/>
    <xf numFmtId="0" fontId="3" fillId="0" borderId="8" xfId="0" applyFont="1" applyBorder="1" applyAlignment="1">
      <alignment horizontal="center" vertical="center"/>
    </xf>
    <xf numFmtId="0" fontId="0" fillId="0" borderId="36" xfId="0" applyBorder="1"/>
    <xf numFmtId="0" fontId="0" fillId="0" borderId="14" xfId="0" applyBorder="1"/>
    <xf numFmtId="0" fontId="3" fillId="0" borderId="6" xfId="0" applyFont="1" applyBorder="1" applyAlignment="1">
      <alignment horizontal="center" vertical="center"/>
    </xf>
    <xf numFmtId="0" fontId="0" fillId="0" borderId="32" xfId="0" applyBorder="1"/>
    <xf numFmtId="0" fontId="3" fillId="0" borderId="27" xfId="0" applyFont="1" applyBorder="1" applyAlignment="1">
      <alignment horizontal="center"/>
    </xf>
    <xf numFmtId="0" fontId="0" fillId="0" borderId="37" xfId="0" applyBorder="1"/>
    <xf numFmtId="0" fontId="0" fillId="0" borderId="38" xfId="0" applyBorder="1"/>
    <xf numFmtId="0" fontId="2" fillId="0" borderId="17" xfId="0" applyFont="1" applyBorder="1" applyAlignment="1">
      <alignment horizontal="center" vertical="center"/>
    </xf>
    <xf numFmtId="0" fontId="0" fillId="0" borderId="20" xfId="0" applyBorder="1"/>
    <xf numFmtId="0" fontId="3" fillId="0" borderId="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 wrapText="1"/>
    </xf>
    <xf numFmtId="0" fontId="0" fillId="0" borderId="21" xfId="0" applyBorder="1"/>
    <xf numFmtId="0" fontId="13" fillId="0" borderId="27" xfId="0" applyFont="1" applyBorder="1" applyAlignment="1">
      <alignment horizontal="center"/>
    </xf>
    <xf numFmtId="0" fontId="8" fillId="0" borderId="3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/>
    </xf>
    <xf numFmtId="0" fontId="8" fillId="0" borderId="39" xfId="0" applyFont="1" applyBorder="1" applyAlignment="1">
      <alignment horizontal="center" vertical="center" wrapText="1"/>
    </xf>
    <xf numFmtId="0" fontId="0" fillId="0" borderId="48" xfId="0" applyBorder="1"/>
    <xf numFmtId="0" fontId="17" fillId="0" borderId="3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/>
    </xf>
    <xf numFmtId="0" fontId="0" fillId="0" borderId="41" xfId="0" applyBorder="1"/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0" xfId="0"/>
    <xf numFmtId="0" fontId="13" fillId="0" borderId="0" xfId="0" applyFont="1" applyAlignment="1">
      <alignment horizontal="center" wrapText="1"/>
    </xf>
    <xf numFmtId="0" fontId="13" fillId="0" borderId="38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266700</xdr:colOff>
      <xdr:row>0</xdr:row>
      <xdr:rowOff>0</xdr:rowOff>
    </xdr:from>
    <xdr:to>
      <xdr:col>18</xdr:col>
      <xdr:colOff>657225</xdr:colOff>
      <xdr:row>26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12</xdr:col>
      <xdr:colOff>285750</xdr:colOff>
      <xdr:row>0</xdr:row>
      <xdr:rowOff>0</xdr:rowOff>
    </xdr:from>
    <xdr:to>
      <xdr:col>15</xdr:col>
      <xdr:colOff>295275</xdr:colOff>
      <xdr:row>27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8</xdr:col>
      <xdr:colOff>19050</xdr:colOff>
      <xdr:row>0</xdr:row>
      <xdr:rowOff>76200</xdr:rowOff>
    </xdr:from>
    <xdr:to>
      <xdr:col>12</xdr:col>
      <xdr:colOff>333375</xdr:colOff>
      <xdr:row>28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7</xdr:col>
      <xdr:colOff>95250</xdr:colOff>
      <xdr:row>31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0</xdr:row>
      <xdr:rowOff>9525</xdr:rowOff>
    </xdr:from>
    <xdr:to>
      <xdr:col>18</xdr:col>
      <xdr:colOff>152400</xdr:colOff>
      <xdr:row>39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18</xdr:col>
      <xdr:colOff>114300</xdr:colOff>
      <xdr:row>36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676275</xdr:colOff>
      <xdr:row>0</xdr:row>
      <xdr:rowOff>0</xdr:rowOff>
    </xdr:from>
    <xdr:to>
      <xdr:col>18</xdr:col>
      <xdr:colOff>666750</xdr:colOff>
      <xdr:row>37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495300</xdr:colOff>
      <xdr:row>0</xdr:row>
      <xdr:rowOff>0</xdr:rowOff>
    </xdr:from>
    <xdr:to>
      <xdr:col>15</xdr:col>
      <xdr:colOff>619125</xdr:colOff>
      <xdr:row>33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workbookViewId="0"/>
  </sheetViews>
  <sheetFormatPr defaultRowHeight="14.25" x14ac:dyDescent="0.15"/>
  <cols>
    <col min="1" max="1" width="17.25" customWidth="1"/>
  </cols>
  <sheetData>
    <row r="1" spans="1:2" x14ac:dyDescent="0.15">
      <c r="A1" s="1" t="s">
        <v>0</v>
      </c>
      <c r="B1" s="11"/>
    </row>
    <row r="2" spans="1:2" x14ac:dyDescent="0.15">
      <c r="A2" s="1" t="s">
        <v>1</v>
      </c>
      <c r="B2" s="22" t="s">
        <v>2</v>
      </c>
    </row>
    <row r="3" spans="1:2" x14ac:dyDescent="0.15">
      <c r="B3" s="22"/>
    </row>
    <row r="4" spans="1:2" x14ac:dyDescent="0.15">
      <c r="A4" s="1" t="s">
        <v>3</v>
      </c>
      <c r="B4" s="1" t="s">
        <v>4</v>
      </c>
    </row>
    <row r="5" spans="1:2" x14ac:dyDescent="0.15">
      <c r="B5" s="1" t="s">
        <v>5</v>
      </c>
    </row>
    <row r="6" spans="1:2" x14ac:dyDescent="0.15">
      <c r="B6" s="1" t="s">
        <v>6</v>
      </c>
    </row>
    <row r="7" spans="1:2" x14ac:dyDescent="0.15">
      <c r="B7" s="1"/>
    </row>
    <row r="8" spans="1:2" x14ac:dyDescent="0.15">
      <c r="A8" s="1" t="s">
        <v>7</v>
      </c>
      <c r="B8" s="1" t="s">
        <v>8</v>
      </c>
    </row>
    <row r="9" spans="1:2" x14ac:dyDescent="0.15">
      <c r="A9" s="1"/>
      <c r="B9" s="1"/>
    </row>
    <row r="10" spans="1:2" x14ac:dyDescent="0.15">
      <c r="A10" s="1" t="s">
        <v>9</v>
      </c>
      <c r="B10" s="1" t="s">
        <v>10</v>
      </c>
    </row>
    <row r="11" spans="1:2" x14ac:dyDescent="0.15">
      <c r="A11" s="1"/>
      <c r="B11" s="1"/>
    </row>
    <row r="12" spans="1:2" x14ac:dyDescent="0.15">
      <c r="A12" s="1" t="s">
        <v>11</v>
      </c>
      <c r="B12" s="1" t="s">
        <v>12</v>
      </c>
    </row>
    <row r="13" spans="1:2" x14ac:dyDescent="0.15">
      <c r="B13" s="1" t="s">
        <v>13</v>
      </c>
    </row>
    <row r="14" spans="1:2" x14ac:dyDescent="0.15">
      <c r="B14" s="1" t="s">
        <v>14</v>
      </c>
    </row>
    <row r="15" spans="1:2" x14ac:dyDescent="0.15">
      <c r="B15" s="1"/>
    </row>
    <row r="16" spans="1:2" x14ac:dyDescent="0.15">
      <c r="A16" s="1" t="s">
        <v>15</v>
      </c>
      <c r="B16" s="1" t="s">
        <v>16</v>
      </c>
    </row>
    <row r="17" spans="1:2" x14ac:dyDescent="0.15">
      <c r="B17" s="1" t="s">
        <v>17</v>
      </c>
    </row>
    <row r="18" spans="1:2" x14ac:dyDescent="0.15">
      <c r="B18" s="1" t="s">
        <v>18</v>
      </c>
    </row>
    <row r="19" spans="1:2" x14ac:dyDescent="0.15">
      <c r="B19" s="1" t="s">
        <v>19</v>
      </c>
    </row>
    <row r="20" spans="1:2" x14ac:dyDescent="0.15">
      <c r="B20" s="1" t="s">
        <v>20</v>
      </c>
    </row>
    <row r="22" spans="1:2" x14ac:dyDescent="0.15">
      <c r="A22" s="1" t="s">
        <v>21</v>
      </c>
      <c r="B22" s="1" t="s">
        <v>22</v>
      </c>
    </row>
    <row r="23" spans="1:2" x14ac:dyDescent="0.15">
      <c r="B23" s="1" t="s">
        <v>23</v>
      </c>
    </row>
    <row r="24" spans="1:2" x14ac:dyDescent="0.15">
      <c r="B24" s="1" t="s">
        <v>24</v>
      </c>
    </row>
    <row r="25" spans="1:2" x14ac:dyDescent="0.15">
      <c r="B25" s="1" t="s">
        <v>25</v>
      </c>
    </row>
    <row r="27" spans="1:2" x14ac:dyDescent="0.15">
      <c r="A27" s="1" t="s">
        <v>26</v>
      </c>
      <c r="B27" s="1" t="s">
        <v>27</v>
      </c>
    </row>
    <row r="28" spans="1:2" x14ac:dyDescent="0.15">
      <c r="B28" s="1" t="s">
        <v>28</v>
      </c>
    </row>
  </sheetData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V69"/>
  <sheetViews>
    <sheetView workbookViewId="0">
      <selection activeCell="G32" sqref="G32"/>
    </sheetView>
  </sheetViews>
  <sheetFormatPr defaultRowHeight="14.25" x14ac:dyDescent="0.15"/>
  <cols>
    <col min="1" max="1" width="13.625" customWidth="1"/>
    <col min="2" max="2" width="5.625" customWidth="1"/>
    <col min="3" max="3" width="17" customWidth="1"/>
    <col min="4" max="4" width="7.5" customWidth="1"/>
    <col min="5" max="5" width="6.625" customWidth="1"/>
    <col min="6" max="6" width="6.875" customWidth="1"/>
    <col min="7" max="7" width="9.75" bestFit="1" customWidth="1"/>
    <col min="8" max="8" width="7.75" bestFit="1" customWidth="1"/>
    <col min="9" max="9" width="6.25" bestFit="1" customWidth="1"/>
    <col min="10" max="10" width="6" customWidth="1"/>
    <col min="11" max="11" width="18" customWidth="1"/>
    <col min="12" max="12" width="8.875" customWidth="1"/>
    <col min="13" max="13" width="6.875" customWidth="1"/>
    <col min="14" max="14" width="5.75" bestFit="1" customWidth="1"/>
    <col min="15" max="15" width="9.75" bestFit="1" customWidth="1"/>
    <col min="16" max="17" width="7.75" bestFit="1" customWidth="1"/>
    <col min="18" max="18" width="6.875" customWidth="1"/>
    <col min="19" max="20" width="8.625" customWidth="1"/>
    <col min="21" max="21" width="7.375" customWidth="1"/>
    <col min="22" max="23" width="8.625" hidden="1" customWidth="1"/>
    <col min="24" max="24" width="9" hidden="1" customWidth="1"/>
    <col min="25" max="26" width="9" customWidth="1"/>
    <col min="27" max="27" width="46.125" hidden="1" customWidth="1"/>
    <col min="28" max="28" width="36.375" bestFit="1" customWidth="1"/>
    <col min="29" max="29" width="30.5" bestFit="1" customWidth="1"/>
    <col min="30" max="30" width="22" bestFit="1" customWidth="1"/>
    <col min="31" max="31" width="7.5" bestFit="1" customWidth="1"/>
    <col min="32" max="32" width="9" bestFit="1" customWidth="1"/>
    <col min="33" max="33" width="8.5" bestFit="1" customWidth="1"/>
    <col min="34" max="36" width="7.375" bestFit="1" customWidth="1"/>
    <col min="37" max="37" width="7.5" bestFit="1" customWidth="1"/>
    <col min="38" max="38" width="9.5" bestFit="1" customWidth="1"/>
    <col min="39" max="40" width="7.125" bestFit="1" customWidth="1"/>
    <col min="41" max="41" width="9" bestFit="1" customWidth="1"/>
    <col min="42" max="43" width="7.125" bestFit="1" customWidth="1"/>
    <col min="44" max="44" width="8.125" bestFit="1" customWidth="1"/>
    <col min="45" max="45" width="7.125" bestFit="1" customWidth="1"/>
    <col min="46" max="48" width="9" bestFit="1" customWidth="1"/>
    <col min="49" max="49" width="19.375" bestFit="1" customWidth="1"/>
    <col min="50" max="50" width="7.125" bestFit="1" customWidth="1"/>
    <col min="51" max="51" width="6.25" bestFit="1" customWidth="1"/>
    <col min="52" max="52" width="9" bestFit="1" customWidth="1"/>
    <col min="53" max="54" width="7.125" bestFit="1" customWidth="1"/>
    <col min="55" max="55" width="9.125" bestFit="1" customWidth="1"/>
    <col min="56" max="59" width="9" bestFit="1" customWidth="1"/>
    <col min="60" max="60" width="8.125" bestFit="1" customWidth="1"/>
    <col min="61" max="61" width="9" bestFit="1" customWidth="1"/>
    <col min="62" max="62" width="11" bestFit="1" customWidth="1"/>
    <col min="63" max="65" width="6.25" bestFit="1" customWidth="1"/>
    <col min="66" max="71" width="9" customWidth="1"/>
  </cols>
  <sheetData>
    <row r="1" spans="1:74" x14ac:dyDescent="0.15">
      <c r="A1" s="204" t="s">
        <v>29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200"/>
      <c r="V1" s="104"/>
      <c r="W1" s="104"/>
      <c r="X1" s="105"/>
      <c r="Y1" s="140"/>
      <c r="Z1" s="140"/>
      <c r="AA1" s="213"/>
      <c r="AB1" s="207" t="s">
        <v>30</v>
      </c>
      <c r="AC1" s="199"/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199"/>
      <c r="AS1" s="199"/>
      <c r="AT1" s="199"/>
      <c r="AU1" s="199"/>
      <c r="AV1" s="199"/>
      <c r="AW1" s="199"/>
      <c r="AX1" s="199"/>
      <c r="AY1" s="199"/>
      <c r="AZ1" s="199"/>
      <c r="BA1" s="199"/>
      <c r="BB1" s="199"/>
      <c r="BC1" s="199"/>
      <c r="BD1" s="199"/>
      <c r="BE1" s="199"/>
      <c r="BF1" s="199"/>
      <c r="BG1" s="199"/>
      <c r="BH1" s="199"/>
      <c r="BI1" s="199"/>
      <c r="BJ1" s="200"/>
    </row>
    <row r="2" spans="1:74" ht="19.5" customHeight="1" x14ac:dyDescent="0.15">
      <c r="A2" s="103" t="s">
        <v>31</v>
      </c>
      <c r="B2" s="150">
        <v>1</v>
      </c>
      <c r="C2" s="215" t="s">
        <v>32</v>
      </c>
      <c r="D2" s="199"/>
      <c r="E2" s="199"/>
      <c r="F2" s="199"/>
      <c r="G2" s="199"/>
      <c r="H2" s="199"/>
      <c r="I2" s="199"/>
      <c r="J2" s="199"/>
      <c r="K2" s="216" t="s">
        <v>33</v>
      </c>
      <c r="L2" s="199"/>
      <c r="M2" s="199"/>
      <c r="N2" s="199"/>
      <c r="O2" s="199"/>
      <c r="P2" s="199"/>
      <c r="Q2" s="199"/>
      <c r="R2" s="199"/>
      <c r="S2" s="200"/>
      <c r="T2" s="205" t="s">
        <v>34</v>
      </c>
      <c r="U2" s="205" t="s">
        <v>35</v>
      </c>
      <c r="V2" s="210" t="s">
        <v>36</v>
      </c>
      <c r="W2" s="208" t="s">
        <v>37</v>
      </c>
      <c r="X2" s="208" t="s">
        <v>38</v>
      </c>
      <c r="Y2" s="212" t="s">
        <v>39</v>
      </c>
      <c r="Z2" s="212" t="s">
        <v>40</v>
      </c>
      <c r="AA2" s="214"/>
      <c r="AB2" s="209" t="s">
        <v>41</v>
      </c>
      <c r="AC2" s="199"/>
      <c r="AD2" s="199"/>
      <c r="AE2" s="199"/>
      <c r="AF2" s="199"/>
      <c r="AG2" s="200"/>
      <c r="AH2" s="215" t="s">
        <v>42</v>
      </c>
      <c r="AI2" s="199"/>
      <c r="AJ2" s="199"/>
      <c r="AK2" s="199"/>
      <c r="AL2" s="199"/>
      <c r="AM2" s="199"/>
      <c r="AN2" s="199"/>
      <c r="AO2" s="199"/>
      <c r="AP2" s="199"/>
      <c r="AQ2" s="199"/>
      <c r="AR2" s="199"/>
      <c r="AS2" s="199"/>
      <c r="AT2" s="199"/>
      <c r="AU2" s="199"/>
      <c r="AV2" s="199"/>
      <c r="AW2" s="216" t="s">
        <v>43</v>
      </c>
      <c r="AX2" s="199"/>
      <c r="AY2" s="199"/>
      <c r="AZ2" s="199"/>
      <c r="BA2" s="199"/>
      <c r="BB2" s="199"/>
      <c r="BC2" s="199"/>
      <c r="BD2" s="199"/>
      <c r="BE2" s="199"/>
      <c r="BF2" s="199"/>
      <c r="BG2" s="199"/>
      <c r="BH2" s="199"/>
      <c r="BI2" s="199"/>
      <c r="BJ2" s="200"/>
    </row>
    <row r="3" spans="1:74" ht="32.25" customHeight="1" thickBot="1" x14ac:dyDescent="0.2">
      <c r="A3" s="162" t="s">
        <v>44</v>
      </c>
      <c r="B3" s="163" t="s">
        <v>45</v>
      </c>
      <c r="C3" s="163" t="s">
        <v>46</v>
      </c>
      <c r="D3" s="163" t="s">
        <v>47</v>
      </c>
      <c r="E3" s="163" t="s">
        <v>48</v>
      </c>
      <c r="F3" s="163" t="s">
        <v>49</v>
      </c>
      <c r="G3" s="164" t="s">
        <v>50</v>
      </c>
      <c r="H3" s="164" t="s">
        <v>51</v>
      </c>
      <c r="I3" s="164" t="s">
        <v>52</v>
      </c>
      <c r="J3" s="165" t="s">
        <v>53</v>
      </c>
      <c r="K3" s="166" t="s">
        <v>54</v>
      </c>
      <c r="L3" s="167" t="s">
        <v>55</v>
      </c>
      <c r="M3" s="166" t="s">
        <v>56</v>
      </c>
      <c r="N3" s="167" t="s">
        <v>57</v>
      </c>
      <c r="O3" s="169" t="s">
        <v>58</v>
      </c>
      <c r="P3" s="169" t="s">
        <v>51</v>
      </c>
      <c r="Q3" s="169" t="s">
        <v>52</v>
      </c>
      <c r="R3" s="167" t="s">
        <v>53</v>
      </c>
      <c r="S3" s="168" t="s">
        <v>59</v>
      </c>
      <c r="T3" s="206"/>
      <c r="U3" s="206"/>
      <c r="V3" s="211"/>
      <c r="W3" s="206"/>
      <c r="X3" s="206"/>
      <c r="Y3" s="206"/>
      <c r="Z3" s="206"/>
      <c r="AA3" s="214"/>
      <c r="AB3" s="42" t="s">
        <v>60</v>
      </c>
      <c r="AC3" s="43" t="s">
        <v>61</v>
      </c>
      <c r="AD3" s="43" t="s">
        <v>62</v>
      </c>
      <c r="AE3" s="43" t="s">
        <v>63</v>
      </c>
      <c r="AF3" s="43" t="s">
        <v>64</v>
      </c>
      <c r="AG3" s="43" t="s">
        <v>65</v>
      </c>
      <c r="AH3" s="43" t="s">
        <v>66</v>
      </c>
      <c r="AI3" s="43" t="s">
        <v>67</v>
      </c>
      <c r="AJ3" s="43" t="s">
        <v>68</v>
      </c>
      <c r="AK3" s="43" t="s">
        <v>69</v>
      </c>
      <c r="AL3" s="45" t="s">
        <v>70</v>
      </c>
      <c r="AM3" s="43" t="s">
        <v>71</v>
      </c>
      <c r="AN3" s="43" t="s">
        <v>72</v>
      </c>
      <c r="AO3" s="43" t="s">
        <v>73</v>
      </c>
      <c r="AP3" s="43" t="s">
        <v>74</v>
      </c>
      <c r="AQ3" s="43" t="s">
        <v>75</v>
      </c>
      <c r="AR3" s="43" t="s">
        <v>76</v>
      </c>
      <c r="AS3" s="43" t="s">
        <v>77</v>
      </c>
      <c r="AT3" s="43" t="s">
        <v>78</v>
      </c>
      <c r="AU3" s="43" t="s">
        <v>79</v>
      </c>
      <c r="AV3" s="72" t="s">
        <v>80</v>
      </c>
      <c r="AW3" s="76" t="s">
        <v>81</v>
      </c>
      <c r="AX3" s="43" t="s">
        <v>82</v>
      </c>
      <c r="AY3" s="43" t="s">
        <v>83</v>
      </c>
      <c r="AZ3" s="43" t="s">
        <v>84</v>
      </c>
      <c r="BA3" s="43" t="s">
        <v>85</v>
      </c>
      <c r="BB3" s="43" t="s">
        <v>86</v>
      </c>
      <c r="BC3" s="43" t="s">
        <v>87</v>
      </c>
      <c r="BD3" s="43" t="s">
        <v>66</v>
      </c>
      <c r="BE3" s="43" t="s">
        <v>67</v>
      </c>
      <c r="BF3" s="43" t="s">
        <v>68</v>
      </c>
      <c r="BG3" s="43" t="s">
        <v>69</v>
      </c>
      <c r="BH3" s="43" t="s">
        <v>76</v>
      </c>
      <c r="BI3" s="43" t="s">
        <v>77</v>
      </c>
      <c r="BJ3" s="44" t="s">
        <v>88</v>
      </c>
    </row>
    <row r="4" spans="1:74" x14ac:dyDescent="0.15">
      <c r="A4" s="145" t="s">
        <v>89</v>
      </c>
      <c r="B4" s="146">
        <v>1</v>
      </c>
      <c r="C4" s="188" t="s">
        <v>90</v>
      </c>
      <c r="D4" s="185">
        <v>410</v>
      </c>
      <c r="E4" s="185">
        <v>20</v>
      </c>
      <c r="F4" s="185">
        <v>94</v>
      </c>
      <c r="G4" s="107">
        <f t="shared" ref="G4:G30" si="0">IF(T4="是",E4,IF(((D4+E4)-(L3+M3))/2&lt;LOOKUP(H4,$AB$39:$AB$45,$AE$39:$AE$45),E4,((L3+M3)/2+LOOKUP(H4,$AB$39:$AB$45,$AE$39:$AE$45)-(D4-E4)/2)))</f>
        <v>20</v>
      </c>
      <c r="H4" s="107">
        <f t="shared" ref="H4:H30" si="1">VALUE(MID(C4,FIND("-",C4)+1,LEN(C4)-FIND("-",C4)-5))</f>
        <v>16</v>
      </c>
      <c r="I4" s="107">
        <f t="shared" ref="I4:I30" si="2">VALUE(RIGHT(C4,4))</f>
        <v>54.7</v>
      </c>
      <c r="J4" s="156">
        <v>20</v>
      </c>
      <c r="K4" s="188" t="s">
        <v>91</v>
      </c>
      <c r="L4" s="185">
        <v>416</v>
      </c>
      <c r="M4" s="185">
        <v>18</v>
      </c>
      <c r="N4" s="185">
        <v>95</v>
      </c>
      <c r="O4" s="107">
        <f>IF(((L4-M4)/2-(D4-E4)/2)&lt;=LOOKUP(E4,{0,9.99,11.99,17.99,23.99,29.99,35.99,47.99,59.99},{0,0.4,0.5,0.75,1,1.25,1.5,2,2.5}),M4,((L4+M4)/2-(D4-E4)/2))</f>
        <v>22</v>
      </c>
      <c r="P4" s="107">
        <f t="shared" ref="P4:P30" si="3">VALUE(MID(K4,FIND("-",K4)+1,LEN(K4)-FIND("-",K4)-5))</f>
        <v>16</v>
      </c>
      <c r="Q4" s="107">
        <f t="shared" ref="Q4:Q30" si="4">VALUE(RIGHT(K4,4))</f>
        <v>58.7</v>
      </c>
      <c r="R4" s="151">
        <v>20</v>
      </c>
      <c r="S4" s="156">
        <v>0</v>
      </c>
      <c r="T4" s="157" t="s">
        <v>92</v>
      </c>
      <c r="U4" s="157" t="s">
        <v>93</v>
      </c>
      <c r="V4" s="147">
        <f t="shared" ref="V4:V30" si="5">LOOKUP(H4,$AB$39:$AB$45,$AC$39:$AC$45)</f>
        <v>4.5</v>
      </c>
      <c r="W4" s="133">
        <f>LOOKUP(P4,AB39:AB45,AD39:AD45)</f>
        <v>5</v>
      </c>
      <c r="X4" s="91" t="str">
        <f t="shared" ref="X4:X43" si="6">IF(U4="是",1,"")</f>
        <v/>
      </c>
      <c r="Y4" s="91" t="str">
        <f t="shared" ref="Y4:Y30" si="7">IF((TAN(PI()/6)*(INDEX($AB$15:$AI$22,MATCH(H4,$AB$15:$AB$22),MATCH(I4,$AB$15:$AI$15))))&lt;(E4-G4),"错误","")</f>
        <v/>
      </c>
      <c r="Z4" s="142" t="str">
        <f t="shared" ref="Z4:Z30" si="8">IF((TAN(PI()/9)*(INDEX($AB$15:$AI$22,MATCH(P4,$AB$15:$AB$22),MATCH(Q4,$AB$15:$AI$15))))&lt;(O4-M4),"错误","")</f>
        <v/>
      </c>
      <c r="AB4" s="46">
        <v>12.5</v>
      </c>
      <c r="AC4" s="30" t="s">
        <v>94</v>
      </c>
      <c r="AD4" s="30">
        <v>13.21</v>
      </c>
      <c r="AE4" s="30">
        <v>4.21</v>
      </c>
      <c r="AF4" s="30">
        <v>0.05</v>
      </c>
      <c r="AG4" s="94">
        <v>7.2747999999999999</v>
      </c>
      <c r="AH4" s="30">
        <v>1.6</v>
      </c>
      <c r="AI4" s="30">
        <v>1.6</v>
      </c>
      <c r="AJ4" s="30">
        <v>1.6</v>
      </c>
      <c r="AK4" s="30">
        <v>1.6</v>
      </c>
      <c r="AL4" s="30">
        <v>1</v>
      </c>
      <c r="AM4" s="94">
        <v>10</v>
      </c>
      <c r="AN4" s="94">
        <v>8</v>
      </c>
      <c r="AO4" s="94">
        <v>13</v>
      </c>
      <c r="AP4" s="95">
        <f>AQ4</f>
        <v>15.5</v>
      </c>
      <c r="AQ4" s="95">
        <f>AO4+2.5</f>
        <v>15.5</v>
      </c>
      <c r="AR4" s="95">
        <v>5</v>
      </c>
      <c r="AS4" s="95">
        <v>3</v>
      </c>
      <c r="AT4" s="95">
        <v>1.6</v>
      </c>
      <c r="AU4" s="95">
        <v>1.6</v>
      </c>
      <c r="AV4" s="118">
        <v>0.8</v>
      </c>
      <c r="AW4" s="96" t="s">
        <v>95</v>
      </c>
      <c r="AX4" s="95">
        <v>16.3</v>
      </c>
      <c r="AY4" s="95">
        <v>6.3</v>
      </c>
      <c r="AZ4" s="95">
        <v>10</v>
      </c>
      <c r="BA4" s="95">
        <v>0.5</v>
      </c>
      <c r="BB4" s="95">
        <v>0.5</v>
      </c>
      <c r="BC4" s="95">
        <v>0.5</v>
      </c>
      <c r="BD4" s="95">
        <v>1.6</v>
      </c>
      <c r="BE4" s="95">
        <v>1.6</v>
      </c>
      <c r="BF4" s="95">
        <v>1.6</v>
      </c>
      <c r="BG4" s="95">
        <v>1.6</v>
      </c>
      <c r="BH4" s="95">
        <v>5.5</v>
      </c>
      <c r="BI4" s="95">
        <v>2.5</v>
      </c>
      <c r="BJ4" s="97">
        <v>0.2</v>
      </c>
    </row>
    <row r="5" spans="1:74" x14ac:dyDescent="0.15">
      <c r="A5" s="130" t="s">
        <v>96</v>
      </c>
      <c r="B5" s="41">
        <v>2</v>
      </c>
      <c r="C5" s="189" t="s">
        <v>90</v>
      </c>
      <c r="D5" s="186">
        <v>418.5</v>
      </c>
      <c r="E5" s="186">
        <v>20.5</v>
      </c>
      <c r="F5" s="186">
        <v>96</v>
      </c>
      <c r="G5" s="141">
        <f t="shared" si="0"/>
        <v>20.5</v>
      </c>
      <c r="H5" s="141">
        <f t="shared" si="1"/>
        <v>16</v>
      </c>
      <c r="I5" s="141">
        <f t="shared" si="2"/>
        <v>54.7</v>
      </c>
      <c r="J5" s="158">
        <v>20</v>
      </c>
      <c r="K5" s="189" t="s">
        <v>91</v>
      </c>
      <c r="L5" s="186">
        <v>424.5</v>
      </c>
      <c r="M5" s="186">
        <v>18.5</v>
      </c>
      <c r="N5" s="186">
        <v>96</v>
      </c>
      <c r="O5" s="141">
        <f>IF(((L5-M5)/2-(D5-E5)/2)&lt;=LOOKUP(E5,{0,9.99,11.99,17.99,23.99,29.99,35.99,47.99,59.99},{0,0.4,0.5,0.75,1,1.25,1.5,2,2.5}),M5,((L5+M5)/2-(D5-E5)/2))</f>
        <v>22.5</v>
      </c>
      <c r="P5" s="141">
        <f t="shared" si="3"/>
        <v>16</v>
      </c>
      <c r="Q5" s="141">
        <f t="shared" si="4"/>
        <v>58.7</v>
      </c>
      <c r="R5" s="153">
        <v>20</v>
      </c>
      <c r="S5" s="158">
        <v>0</v>
      </c>
      <c r="T5" s="159" t="s">
        <v>93</v>
      </c>
      <c r="U5" s="159" t="s">
        <v>93</v>
      </c>
      <c r="V5" s="90">
        <f t="shared" si="5"/>
        <v>4.5</v>
      </c>
      <c r="W5" s="134">
        <f t="shared" ref="W5:W30" si="9">LOOKUP(P5,$AB$39:$AB$45,$AD$39:$AD$45)</f>
        <v>5</v>
      </c>
      <c r="X5" s="92" t="str">
        <f t="shared" si="6"/>
        <v/>
      </c>
      <c r="Y5" s="92" t="str">
        <f t="shared" si="7"/>
        <v/>
      </c>
      <c r="Z5" s="143" t="str">
        <f t="shared" si="8"/>
        <v/>
      </c>
      <c r="AB5" s="46">
        <v>16</v>
      </c>
      <c r="AC5" s="30" t="s">
        <v>97</v>
      </c>
      <c r="AD5" s="30">
        <v>16.91</v>
      </c>
      <c r="AE5" s="30">
        <v>5.39</v>
      </c>
      <c r="AF5" s="30">
        <v>0.05</v>
      </c>
      <c r="AG5" s="94">
        <v>9.3117999999999999</v>
      </c>
      <c r="AH5" s="30">
        <v>2</v>
      </c>
      <c r="AI5" s="30">
        <v>2</v>
      </c>
      <c r="AJ5" s="30">
        <v>2</v>
      </c>
      <c r="AK5" s="30">
        <v>2</v>
      </c>
      <c r="AL5" s="30">
        <v>1</v>
      </c>
      <c r="AM5" s="94">
        <v>12.8</v>
      </c>
      <c r="AN5" s="94">
        <v>9</v>
      </c>
      <c r="AO5" s="94">
        <v>15</v>
      </c>
      <c r="AP5" s="95">
        <f>AQ5</f>
        <v>17.5</v>
      </c>
      <c r="AQ5" s="95">
        <f>AO5+2.5</f>
        <v>17.5</v>
      </c>
      <c r="AR5" s="95">
        <v>5</v>
      </c>
      <c r="AS5" s="95">
        <v>3</v>
      </c>
      <c r="AT5" s="95">
        <v>2</v>
      </c>
      <c r="AU5" s="95">
        <v>2</v>
      </c>
      <c r="AV5" s="118">
        <v>1</v>
      </c>
      <c r="AW5" s="96" t="s">
        <v>98</v>
      </c>
      <c r="AX5" s="95">
        <v>20.5</v>
      </c>
      <c r="AY5" s="95">
        <v>8</v>
      </c>
      <c r="AZ5" s="95">
        <v>12.5</v>
      </c>
      <c r="BA5" s="95">
        <v>0.8</v>
      </c>
      <c r="BB5" s="95">
        <v>0.5</v>
      </c>
      <c r="BC5" s="95">
        <v>0.5</v>
      </c>
      <c r="BD5" s="95">
        <v>2</v>
      </c>
      <c r="BE5" s="95">
        <v>2</v>
      </c>
      <c r="BF5" s="95">
        <v>2</v>
      </c>
      <c r="BG5" s="95">
        <v>2</v>
      </c>
      <c r="BH5" s="95">
        <v>6</v>
      </c>
      <c r="BI5" s="95">
        <v>3</v>
      </c>
      <c r="BJ5" s="97">
        <v>0.2</v>
      </c>
    </row>
    <row r="6" spans="1:74" x14ac:dyDescent="0.15">
      <c r="A6" s="130" t="s">
        <v>99</v>
      </c>
      <c r="B6" s="41">
        <v>3</v>
      </c>
      <c r="C6" s="189" t="s">
        <v>90</v>
      </c>
      <c r="D6" s="186">
        <v>427</v>
      </c>
      <c r="E6" s="186">
        <v>21</v>
      </c>
      <c r="F6" s="186">
        <v>98</v>
      </c>
      <c r="G6" s="141">
        <f t="shared" si="0"/>
        <v>21</v>
      </c>
      <c r="H6" s="141">
        <f t="shared" si="1"/>
        <v>16</v>
      </c>
      <c r="I6" s="141">
        <f t="shared" si="2"/>
        <v>54.7</v>
      </c>
      <c r="J6" s="158">
        <v>20</v>
      </c>
      <c r="K6" s="189" t="s">
        <v>91</v>
      </c>
      <c r="L6" s="186">
        <v>433</v>
      </c>
      <c r="M6" s="186">
        <v>19</v>
      </c>
      <c r="N6" s="186">
        <v>98</v>
      </c>
      <c r="O6" s="141">
        <f>IF(((L6-M6)/2-(D6-E6)/2)&lt;=LOOKUP(E6,{0,9.99,11.99,17.99,23.99,29.99,35.99,47.99,59.99},{0,0.4,0.5,0.75,1,1.25,1.5,2,2.5}),M6,((L6+M6)/2-(D6-E6)/2))</f>
        <v>23</v>
      </c>
      <c r="P6" s="141">
        <f t="shared" si="3"/>
        <v>16</v>
      </c>
      <c r="Q6" s="141">
        <f t="shared" si="4"/>
        <v>58.7</v>
      </c>
      <c r="R6" s="153">
        <v>20</v>
      </c>
      <c r="S6" s="158">
        <v>0</v>
      </c>
      <c r="T6" s="159" t="s">
        <v>93</v>
      </c>
      <c r="U6" s="159" t="s">
        <v>93</v>
      </c>
      <c r="V6" s="90">
        <f t="shared" si="5"/>
        <v>4.5</v>
      </c>
      <c r="W6" s="134">
        <f t="shared" si="9"/>
        <v>5</v>
      </c>
      <c r="X6" s="92" t="str">
        <f t="shared" si="6"/>
        <v/>
      </c>
      <c r="Y6" s="92" t="str">
        <f t="shared" si="7"/>
        <v/>
      </c>
      <c r="Z6" s="143" t="str">
        <f t="shared" si="8"/>
        <v/>
      </c>
      <c r="AB6" s="46">
        <v>20</v>
      </c>
      <c r="AC6" s="30" t="s">
        <v>100</v>
      </c>
      <c r="AD6" s="30">
        <v>21.14</v>
      </c>
      <c r="AE6" s="30">
        <v>6.74</v>
      </c>
      <c r="AF6" s="30">
        <v>0.06</v>
      </c>
      <c r="AG6" s="94">
        <v>11.639699999999999</v>
      </c>
      <c r="AH6" s="30">
        <v>2</v>
      </c>
      <c r="AI6" s="30">
        <v>2</v>
      </c>
      <c r="AJ6" s="30">
        <v>2</v>
      </c>
      <c r="AK6" s="30">
        <v>2</v>
      </c>
      <c r="AL6" s="30">
        <v>1</v>
      </c>
      <c r="AM6" s="94">
        <v>16</v>
      </c>
      <c r="AN6" s="94">
        <v>11</v>
      </c>
      <c r="AO6" s="94">
        <v>18</v>
      </c>
      <c r="AP6" s="95">
        <v>20.5</v>
      </c>
      <c r="AQ6" s="95">
        <v>20.5</v>
      </c>
      <c r="AR6" s="95">
        <v>5</v>
      </c>
      <c r="AS6" s="95">
        <v>3</v>
      </c>
      <c r="AT6" s="95">
        <v>2</v>
      </c>
      <c r="AU6" s="95">
        <v>2</v>
      </c>
      <c r="AV6" s="118">
        <v>1.2</v>
      </c>
      <c r="AW6" s="96" t="s">
        <v>101</v>
      </c>
      <c r="AX6" s="95">
        <v>25.5</v>
      </c>
      <c r="AY6" s="95">
        <v>10</v>
      </c>
      <c r="AZ6" s="95">
        <v>16</v>
      </c>
      <c r="BA6" s="95">
        <v>1</v>
      </c>
      <c r="BB6" s="95">
        <v>0.5</v>
      </c>
      <c r="BC6" s="95">
        <v>1</v>
      </c>
      <c r="BD6" s="95">
        <v>2</v>
      </c>
      <c r="BE6" s="95">
        <v>2</v>
      </c>
      <c r="BF6" s="95">
        <v>2</v>
      </c>
      <c r="BG6" s="95">
        <v>2</v>
      </c>
      <c r="BH6" s="95">
        <v>6.5</v>
      </c>
      <c r="BI6" s="95">
        <v>3.5</v>
      </c>
      <c r="BJ6" s="97">
        <v>0.2</v>
      </c>
    </row>
    <row r="7" spans="1:74" x14ac:dyDescent="0.15">
      <c r="A7" s="130" t="s">
        <v>102</v>
      </c>
      <c r="B7" s="41">
        <v>4</v>
      </c>
      <c r="C7" s="189" t="s">
        <v>90</v>
      </c>
      <c r="D7" s="186">
        <v>435.5</v>
      </c>
      <c r="E7" s="186">
        <v>21.5</v>
      </c>
      <c r="F7" s="186">
        <v>98</v>
      </c>
      <c r="G7" s="141">
        <f t="shared" si="0"/>
        <v>21.5</v>
      </c>
      <c r="H7" s="141">
        <f t="shared" si="1"/>
        <v>16</v>
      </c>
      <c r="I7" s="141">
        <f t="shared" si="2"/>
        <v>54.7</v>
      </c>
      <c r="J7" s="158">
        <v>20</v>
      </c>
      <c r="K7" s="189" t="s">
        <v>91</v>
      </c>
      <c r="L7" s="186">
        <v>441.5</v>
      </c>
      <c r="M7" s="186">
        <v>19.5</v>
      </c>
      <c r="N7" s="186">
        <v>100</v>
      </c>
      <c r="O7" s="141">
        <f>IF(((L7-M7)/2-(D7-E7)/2)&lt;=LOOKUP(E7,{0,9.99,11.99,17.99,23.99,29.99,35.99,47.99,59.99},{0,0.4,0.5,0.75,1,1.25,1.5,2,2.5}),M7,((L7+M7)/2-(D7-E7)/2))</f>
        <v>23.5</v>
      </c>
      <c r="P7" s="141">
        <f t="shared" si="3"/>
        <v>16</v>
      </c>
      <c r="Q7" s="141">
        <f t="shared" si="4"/>
        <v>58.7</v>
      </c>
      <c r="R7" s="153">
        <v>20</v>
      </c>
      <c r="S7" s="158">
        <v>0</v>
      </c>
      <c r="T7" s="159" t="s">
        <v>93</v>
      </c>
      <c r="U7" s="159" t="s">
        <v>93</v>
      </c>
      <c r="V7" s="90">
        <f t="shared" si="5"/>
        <v>4.5</v>
      </c>
      <c r="W7" s="134">
        <f t="shared" si="9"/>
        <v>5</v>
      </c>
      <c r="X7" s="92" t="str">
        <f t="shared" si="6"/>
        <v/>
      </c>
      <c r="Y7" s="92" t="str">
        <f t="shared" si="7"/>
        <v/>
      </c>
      <c r="Z7" s="143" t="str">
        <f t="shared" si="8"/>
        <v/>
      </c>
      <c r="AB7" s="46">
        <v>25</v>
      </c>
      <c r="AC7" s="30" t="s">
        <v>103</v>
      </c>
      <c r="AD7" s="30">
        <v>26.52</v>
      </c>
      <c r="AE7" s="30">
        <v>8.42</v>
      </c>
      <c r="AF7" s="30">
        <v>7.0000000000000007E-2</v>
      </c>
      <c r="AG7" s="94">
        <v>14.5496</v>
      </c>
      <c r="AH7" s="30">
        <v>3</v>
      </c>
      <c r="AI7" s="30">
        <v>3</v>
      </c>
      <c r="AJ7" s="30">
        <v>3</v>
      </c>
      <c r="AK7" s="30">
        <v>3</v>
      </c>
      <c r="AL7" s="30">
        <v>1</v>
      </c>
      <c r="AM7" s="95">
        <v>20</v>
      </c>
      <c r="AN7" s="95">
        <v>13</v>
      </c>
      <c r="AO7" s="95">
        <v>21</v>
      </c>
      <c r="AP7" s="95">
        <v>23.5</v>
      </c>
      <c r="AQ7" s="95">
        <v>23.5</v>
      </c>
      <c r="AR7" s="95">
        <v>5</v>
      </c>
      <c r="AS7" s="95">
        <v>3</v>
      </c>
      <c r="AT7" s="95">
        <v>3</v>
      </c>
      <c r="AU7" s="95">
        <v>3</v>
      </c>
      <c r="AV7" s="118">
        <v>1.6</v>
      </c>
      <c r="AW7" s="115" t="s">
        <v>104</v>
      </c>
      <c r="AX7" s="95">
        <v>31.5</v>
      </c>
      <c r="AY7" s="95">
        <v>12.5</v>
      </c>
      <c r="AZ7" s="95">
        <v>20</v>
      </c>
      <c r="BA7" s="95">
        <v>1.2</v>
      </c>
      <c r="BB7" s="95">
        <v>0.5</v>
      </c>
      <c r="BC7" s="95">
        <v>1.5</v>
      </c>
      <c r="BD7" s="95">
        <v>3</v>
      </c>
      <c r="BE7" s="95">
        <v>3</v>
      </c>
      <c r="BF7" s="95">
        <v>3</v>
      </c>
      <c r="BG7" s="95">
        <v>3</v>
      </c>
      <c r="BH7" s="95">
        <v>7</v>
      </c>
      <c r="BI7" s="95">
        <v>4</v>
      </c>
      <c r="BJ7" s="97">
        <v>0.2</v>
      </c>
    </row>
    <row r="8" spans="1:74" x14ac:dyDescent="0.15">
      <c r="A8" s="130" t="s">
        <v>105</v>
      </c>
      <c r="B8" s="41">
        <v>5</v>
      </c>
      <c r="C8" s="189" t="s">
        <v>90</v>
      </c>
      <c r="D8" s="186">
        <v>444</v>
      </c>
      <c r="E8" s="186">
        <v>22</v>
      </c>
      <c r="F8" s="186">
        <v>100</v>
      </c>
      <c r="G8" s="141">
        <f t="shared" si="0"/>
        <v>22</v>
      </c>
      <c r="H8" s="141">
        <f t="shared" si="1"/>
        <v>16</v>
      </c>
      <c r="I8" s="141">
        <f t="shared" si="2"/>
        <v>54.7</v>
      </c>
      <c r="J8" s="158">
        <v>20</v>
      </c>
      <c r="K8" s="189" t="s">
        <v>91</v>
      </c>
      <c r="L8" s="186">
        <v>450</v>
      </c>
      <c r="M8" s="186">
        <v>20</v>
      </c>
      <c r="N8" s="186">
        <v>102</v>
      </c>
      <c r="O8" s="141">
        <f>IF(((L8-M8)/2-(D8-E8)/2)&lt;=LOOKUP(E8,{0,9.99,11.99,17.99,23.99,29.99,35.99,47.99,59.99},{0,0.4,0.5,0.75,1,1.25,1.5,2,2.5}),M8,((L8+M8)/2-(D8-E8)/2))</f>
        <v>24</v>
      </c>
      <c r="P8" s="141">
        <f t="shared" si="3"/>
        <v>16</v>
      </c>
      <c r="Q8" s="141">
        <f t="shared" si="4"/>
        <v>58.7</v>
      </c>
      <c r="R8" s="153">
        <v>20</v>
      </c>
      <c r="S8" s="158">
        <v>0</v>
      </c>
      <c r="T8" s="159" t="s">
        <v>93</v>
      </c>
      <c r="U8" s="159" t="s">
        <v>93</v>
      </c>
      <c r="V8" s="90">
        <f t="shared" si="5"/>
        <v>4.5</v>
      </c>
      <c r="W8" s="134">
        <f t="shared" si="9"/>
        <v>5</v>
      </c>
      <c r="X8" s="92" t="str">
        <f t="shared" si="6"/>
        <v/>
      </c>
      <c r="Y8" s="92" t="str">
        <f t="shared" si="7"/>
        <v/>
      </c>
      <c r="Z8" s="143" t="str">
        <f t="shared" si="8"/>
        <v/>
      </c>
      <c r="AB8" s="46">
        <v>32</v>
      </c>
      <c r="AC8" s="109" t="s">
        <v>106</v>
      </c>
      <c r="AD8" s="109">
        <v>33.82</v>
      </c>
      <c r="AE8" s="109">
        <v>10.78</v>
      </c>
      <c r="AF8" s="109">
        <v>0.08</v>
      </c>
      <c r="AG8" s="113">
        <v>18.6235</v>
      </c>
      <c r="AH8" s="109">
        <v>3</v>
      </c>
      <c r="AI8" s="109">
        <v>3</v>
      </c>
      <c r="AJ8" s="109">
        <v>3</v>
      </c>
      <c r="AK8" s="109">
        <v>3</v>
      </c>
      <c r="AL8" s="109">
        <v>1</v>
      </c>
      <c r="AM8" s="113">
        <v>25.7</v>
      </c>
      <c r="AN8" s="113">
        <v>16</v>
      </c>
      <c r="AO8" s="113">
        <v>25</v>
      </c>
      <c r="AP8" s="113">
        <v>27.5</v>
      </c>
      <c r="AQ8" s="113">
        <v>27.5</v>
      </c>
      <c r="AR8" s="113">
        <v>7</v>
      </c>
      <c r="AS8" s="113">
        <v>4</v>
      </c>
      <c r="AT8" s="113">
        <v>3</v>
      </c>
      <c r="AU8" s="113">
        <v>3</v>
      </c>
      <c r="AV8" s="114">
        <v>2</v>
      </c>
      <c r="AW8" s="116" t="s">
        <v>107</v>
      </c>
      <c r="AX8" s="113">
        <v>40</v>
      </c>
      <c r="AY8" s="113">
        <v>16</v>
      </c>
      <c r="AZ8" s="113">
        <v>25</v>
      </c>
      <c r="BA8" s="113">
        <v>1.5</v>
      </c>
      <c r="BB8" s="113">
        <v>0.5</v>
      </c>
      <c r="BC8" s="113">
        <v>2</v>
      </c>
      <c r="BD8" s="113">
        <v>3</v>
      </c>
      <c r="BE8" s="113">
        <v>3</v>
      </c>
      <c r="BF8" s="113">
        <v>3</v>
      </c>
      <c r="BG8" s="113">
        <v>3</v>
      </c>
      <c r="BH8" s="113">
        <v>8.5</v>
      </c>
      <c r="BI8" s="113">
        <v>5</v>
      </c>
      <c r="BJ8" s="117">
        <v>0.2</v>
      </c>
    </row>
    <row r="9" spans="1:74" x14ac:dyDescent="0.15">
      <c r="A9" s="130" t="s">
        <v>108</v>
      </c>
      <c r="B9" s="41">
        <v>6</v>
      </c>
      <c r="C9" s="189" t="s">
        <v>90</v>
      </c>
      <c r="D9" s="186">
        <v>453</v>
      </c>
      <c r="E9" s="186">
        <v>23</v>
      </c>
      <c r="F9" s="186">
        <v>102</v>
      </c>
      <c r="G9" s="141">
        <f t="shared" si="0"/>
        <v>23</v>
      </c>
      <c r="H9" s="141">
        <f t="shared" si="1"/>
        <v>16</v>
      </c>
      <c r="I9" s="141">
        <f t="shared" si="2"/>
        <v>54.7</v>
      </c>
      <c r="J9" s="158">
        <v>20</v>
      </c>
      <c r="K9" s="189" t="s">
        <v>91</v>
      </c>
      <c r="L9" s="186">
        <v>459</v>
      </c>
      <c r="M9" s="186">
        <v>21</v>
      </c>
      <c r="N9" s="186">
        <v>104</v>
      </c>
      <c r="O9" s="141">
        <f>IF(((L9-M9)/2-(D9-E9)/2)&lt;=LOOKUP(E9,{0,9.99,11.99,17.99,23.99,29.99,35.99,47.99,59.99},{0,0.4,0.5,0.75,1,1.25,1.5,2,2.5}),M9,((L9+M9)/2-(D9-E9)/2))</f>
        <v>25</v>
      </c>
      <c r="P9" s="141">
        <f t="shared" si="3"/>
        <v>16</v>
      </c>
      <c r="Q9" s="141">
        <f t="shared" si="4"/>
        <v>58.7</v>
      </c>
      <c r="R9" s="153">
        <v>20</v>
      </c>
      <c r="S9" s="158">
        <v>0</v>
      </c>
      <c r="T9" s="159" t="s">
        <v>93</v>
      </c>
      <c r="U9" s="159" t="s">
        <v>93</v>
      </c>
      <c r="V9" s="90">
        <f t="shared" si="5"/>
        <v>4.5</v>
      </c>
      <c r="W9" s="134">
        <f t="shared" si="9"/>
        <v>5</v>
      </c>
      <c r="X9" s="92" t="str">
        <f t="shared" si="6"/>
        <v/>
      </c>
      <c r="Y9" s="92" t="str">
        <f t="shared" si="7"/>
        <v/>
      </c>
      <c r="Z9" s="143" t="str">
        <f t="shared" si="8"/>
        <v/>
      </c>
      <c r="AB9" s="46">
        <v>40</v>
      </c>
      <c r="AC9" s="29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31"/>
      <c r="AW9" s="51"/>
      <c r="AX9" s="28"/>
      <c r="AY9" s="28"/>
      <c r="AZ9" s="30"/>
      <c r="BA9" s="30"/>
      <c r="BB9" s="30"/>
      <c r="BC9" s="30"/>
      <c r="BD9" s="28"/>
      <c r="BE9" s="28"/>
      <c r="BF9" s="28"/>
      <c r="BG9" s="28"/>
      <c r="BH9" s="28"/>
      <c r="BI9" s="28"/>
      <c r="BJ9" s="47"/>
    </row>
    <row r="10" spans="1:74" ht="15" customHeight="1" thickBot="1" x14ac:dyDescent="0.2">
      <c r="A10" s="130" t="s">
        <v>109</v>
      </c>
      <c r="B10" s="41">
        <v>7</v>
      </c>
      <c r="C10" s="189" t="s">
        <v>90</v>
      </c>
      <c r="D10" s="186">
        <v>462</v>
      </c>
      <c r="E10" s="186">
        <v>24</v>
      </c>
      <c r="F10" s="186">
        <v>104</v>
      </c>
      <c r="G10" s="141">
        <f t="shared" si="0"/>
        <v>24</v>
      </c>
      <c r="H10" s="141">
        <f t="shared" si="1"/>
        <v>16</v>
      </c>
      <c r="I10" s="141">
        <f t="shared" si="2"/>
        <v>54.7</v>
      </c>
      <c r="J10" s="158">
        <v>20</v>
      </c>
      <c r="K10" s="189" t="s">
        <v>91</v>
      </c>
      <c r="L10" s="186">
        <v>468</v>
      </c>
      <c r="M10" s="186">
        <v>22</v>
      </c>
      <c r="N10" s="186">
        <v>106</v>
      </c>
      <c r="O10" s="141">
        <f>IF(((L10-M10)/2-(D10-E10)/2)&lt;=LOOKUP(E10,{0,9.99,11.99,17.99,23.99,29.99,35.99,47.99,59.99},{0,0.4,0.5,0.75,1,1.25,1.5,2,2.5}),M10,((L10+M10)/2-(D10-E10)/2))</f>
        <v>26</v>
      </c>
      <c r="P10" s="141">
        <f t="shared" si="3"/>
        <v>16</v>
      </c>
      <c r="Q10" s="141">
        <f t="shared" si="4"/>
        <v>58.7</v>
      </c>
      <c r="R10" s="153">
        <v>20</v>
      </c>
      <c r="S10" s="158">
        <v>0</v>
      </c>
      <c r="T10" s="159" t="s">
        <v>93</v>
      </c>
      <c r="U10" s="159" t="s">
        <v>93</v>
      </c>
      <c r="V10" s="90">
        <f t="shared" si="5"/>
        <v>4.5</v>
      </c>
      <c r="W10" s="134">
        <f t="shared" si="9"/>
        <v>5</v>
      </c>
      <c r="X10" s="92" t="str">
        <f t="shared" si="6"/>
        <v/>
      </c>
      <c r="Y10" s="92" t="str">
        <f t="shared" si="7"/>
        <v/>
      </c>
      <c r="Z10" s="143" t="str">
        <f t="shared" si="8"/>
        <v/>
      </c>
      <c r="AB10" s="48">
        <v>50</v>
      </c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73"/>
      <c r="AW10" s="74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50"/>
    </row>
    <row r="11" spans="1:74" ht="15" customHeight="1" thickBot="1" x14ac:dyDescent="0.2">
      <c r="A11" s="130" t="s">
        <v>110</v>
      </c>
      <c r="B11" s="41">
        <v>8</v>
      </c>
      <c r="C11" s="190" t="s">
        <v>90</v>
      </c>
      <c r="D11" s="187">
        <v>471</v>
      </c>
      <c r="E11" s="187">
        <v>25</v>
      </c>
      <c r="F11" s="187">
        <v>108</v>
      </c>
      <c r="G11" s="141">
        <f t="shared" si="0"/>
        <v>25</v>
      </c>
      <c r="H11" s="141">
        <f t="shared" si="1"/>
        <v>16</v>
      </c>
      <c r="I11" s="141">
        <f t="shared" si="2"/>
        <v>54.7</v>
      </c>
      <c r="J11" s="158">
        <v>20</v>
      </c>
      <c r="K11" s="190" t="s">
        <v>91</v>
      </c>
      <c r="L11" s="187">
        <v>477</v>
      </c>
      <c r="M11" s="187">
        <v>23</v>
      </c>
      <c r="N11" s="187">
        <v>108</v>
      </c>
      <c r="O11" s="141">
        <f>IF(((L11-M11)/2-(D11-E11)/2)&lt;=LOOKUP(E11,{0,9.99,11.99,17.99,23.99,29.99,35.99,47.99,59.99},{0,0.4,0.5,0.75,1,1.25,1.5,2,2.5}),M11,((L11+M11)/2-(D11-E11)/2))</f>
        <v>27</v>
      </c>
      <c r="P11" s="141">
        <f t="shared" si="3"/>
        <v>16</v>
      </c>
      <c r="Q11" s="141">
        <f t="shared" si="4"/>
        <v>58.7</v>
      </c>
      <c r="R11" s="153">
        <v>20</v>
      </c>
      <c r="S11" s="158">
        <v>0</v>
      </c>
      <c r="T11" s="159" t="s">
        <v>93</v>
      </c>
      <c r="U11" s="159" t="s">
        <v>92</v>
      </c>
      <c r="V11" s="90">
        <f t="shared" si="5"/>
        <v>4.5</v>
      </c>
      <c r="W11" s="134">
        <f t="shared" si="9"/>
        <v>5</v>
      </c>
      <c r="X11" s="92">
        <f t="shared" si="6"/>
        <v>1</v>
      </c>
      <c r="Y11" s="92" t="str">
        <f t="shared" si="7"/>
        <v/>
      </c>
      <c r="Z11" s="143" t="str">
        <f t="shared" si="8"/>
        <v/>
      </c>
    </row>
    <row r="12" spans="1:74" ht="15.75" customHeight="1" thickTop="1" thickBot="1" x14ac:dyDescent="0.2">
      <c r="A12" s="130" t="s">
        <v>111</v>
      </c>
      <c r="B12" s="41">
        <v>9</v>
      </c>
      <c r="C12" s="189" t="s">
        <v>90</v>
      </c>
      <c r="D12" s="186">
        <v>480.5</v>
      </c>
      <c r="E12" s="186">
        <v>26.5</v>
      </c>
      <c r="F12" s="186">
        <v>110</v>
      </c>
      <c r="G12" s="141">
        <f t="shared" si="0"/>
        <v>26.5</v>
      </c>
      <c r="H12" s="141">
        <f t="shared" si="1"/>
        <v>16</v>
      </c>
      <c r="I12" s="141">
        <f t="shared" si="2"/>
        <v>54.7</v>
      </c>
      <c r="J12" s="158">
        <v>20</v>
      </c>
      <c r="K12" s="189" t="s">
        <v>91</v>
      </c>
      <c r="L12" s="186">
        <v>486.5</v>
      </c>
      <c r="M12" s="186">
        <v>24.5</v>
      </c>
      <c r="N12" s="186">
        <v>111</v>
      </c>
      <c r="O12" s="141">
        <f>IF(((L12-M12)/2-(D12-E12)/2)&lt;=LOOKUP(E12,{0,9.99,11.99,17.99,23.99,29.99,35.99,47.99,59.99},{0,0.4,0.5,0.75,1,1.25,1.5,2,2.5}),M12,((L12+M12)/2-(D12-E12)/2))</f>
        <v>28.5</v>
      </c>
      <c r="P12" s="141">
        <f t="shared" si="3"/>
        <v>16</v>
      </c>
      <c r="Q12" s="141">
        <f t="shared" si="4"/>
        <v>58.7</v>
      </c>
      <c r="R12" s="153">
        <v>20</v>
      </c>
      <c r="S12" s="158">
        <v>0</v>
      </c>
      <c r="T12" s="159" t="s">
        <v>92</v>
      </c>
      <c r="U12" s="159" t="s">
        <v>93</v>
      </c>
      <c r="V12" s="90">
        <f t="shared" si="5"/>
        <v>4.5</v>
      </c>
      <c r="W12" s="134">
        <f t="shared" si="9"/>
        <v>5</v>
      </c>
      <c r="X12" s="92" t="str">
        <f t="shared" si="6"/>
        <v/>
      </c>
      <c r="Y12" s="92" t="str">
        <f t="shared" si="7"/>
        <v/>
      </c>
      <c r="Z12" s="143" t="str">
        <f t="shared" si="8"/>
        <v/>
      </c>
    </row>
    <row r="13" spans="1:74" ht="15" customHeight="1" thickBot="1" x14ac:dyDescent="0.2">
      <c r="A13" s="130" t="s">
        <v>112</v>
      </c>
      <c r="B13" s="41">
        <v>10</v>
      </c>
      <c r="C13" s="188" t="s">
        <v>90</v>
      </c>
      <c r="D13" s="186">
        <v>490</v>
      </c>
      <c r="E13" s="186">
        <v>28</v>
      </c>
      <c r="F13" s="186">
        <v>112</v>
      </c>
      <c r="G13" s="141">
        <f t="shared" si="0"/>
        <v>27.5</v>
      </c>
      <c r="H13" s="141">
        <f t="shared" si="1"/>
        <v>16</v>
      </c>
      <c r="I13" s="141">
        <f t="shared" si="2"/>
        <v>54.7</v>
      </c>
      <c r="J13" s="158">
        <v>20</v>
      </c>
      <c r="K13" s="189" t="s">
        <v>91</v>
      </c>
      <c r="L13" s="186">
        <v>496</v>
      </c>
      <c r="M13" s="186">
        <v>26</v>
      </c>
      <c r="N13" s="186">
        <v>113</v>
      </c>
      <c r="O13" s="141">
        <f>IF(((L13-M13)/2-(D13-E13)/2)&lt;=LOOKUP(E13,{0,9.99,11.99,17.99,23.99,29.99,35.99,47.99,59.99},{0,0.4,0.5,0.75,1,1.25,1.5,2,2.5}),M13,((L13+M13)/2-(D13-E13)/2))</f>
        <v>30</v>
      </c>
      <c r="P13" s="141">
        <f t="shared" si="3"/>
        <v>16</v>
      </c>
      <c r="Q13" s="141">
        <f t="shared" si="4"/>
        <v>58.7</v>
      </c>
      <c r="R13" s="153">
        <v>20</v>
      </c>
      <c r="S13" s="158">
        <v>0</v>
      </c>
      <c r="T13" s="159" t="s">
        <v>93</v>
      </c>
      <c r="U13" s="159" t="s">
        <v>93</v>
      </c>
      <c r="V13" s="90">
        <f t="shared" si="5"/>
        <v>4.5</v>
      </c>
      <c r="W13" s="134">
        <f t="shared" si="9"/>
        <v>5</v>
      </c>
      <c r="X13" s="92" t="str">
        <f t="shared" si="6"/>
        <v/>
      </c>
      <c r="Y13" s="92" t="str">
        <f t="shared" si="7"/>
        <v/>
      </c>
      <c r="Z13" s="143" t="str">
        <f t="shared" si="8"/>
        <v/>
      </c>
      <c r="AK13" s="198" t="s">
        <v>113</v>
      </c>
      <c r="AL13" s="199"/>
      <c r="AM13" s="199"/>
      <c r="AN13" s="199"/>
      <c r="AO13" s="199"/>
      <c r="AP13" s="199"/>
      <c r="AQ13" s="199"/>
      <c r="AR13" s="199"/>
      <c r="AS13" s="199"/>
      <c r="AT13" s="199"/>
      <c r="AU13" s="199"/>
      <c r="AV13" s="199"/>
      <c r="AW13" s="199"/>
      <c r="AX13" s="199"/>
      <c r="AY13" s="199"/>
      <c r="AZ13" s="199"/>
      <c r="BA13" s="200"/>
      <c r="BB13" s="198" t="s">
        <v>114</v>
      </c>
      <c r="BC13" s="199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199"/>
      <c r="BO13" s="199"/>
      <c r="BP13" s="199"/>
      <c r="BQ13" s="200"/>
    </row>
    <row r="14" spans="1:74" x14ac:dyDescent="0.15">
      <c r="A14" s="130" t="s">
        <v>115</v>
      </c>
      <c r="B14" s="41">
        <v>11</v>
      </c>
      <c r="C14" s="188" t="s">
        <v>90</v>
      </c>
      <c r="D14" s="186">
        <v>500</v>
      </c>
      <c r="E14" s="186">
        <v>30</v>
      </c>
      <c r="F14" s="186">
        <v>114</v>
      </c>
      <c r="G14" s="141">
        <f t="shared" si="0"/>
        <v>29</v>
      </c>
      <c r="H14" s="141">
        <f t="shared" si="1"/>
        <v>16</v>
      </c>
      <c r="I14" s="141">
        <f t="shared" si="2"/>
        <v>54.7</v>
      </c>
      <c r="J14" s="158">
        <v>20</v>
      </c>
      <c r="K14" s="189" t="s">
        <v>91</v>
      </c>
      <c r="L14" s="186">
        <v>506</v>
      </c>
      <c r="M14" s="186">
        <v>28</v>
      </c>
      <c r="N14" s="186">
        <v>115</v>
      </c>
      <c r="O14" s="141">
        <f>IF(((L14-M14)/2-(D14-E14)/2)&lt;=LOOKUP(E14,{0,9.99,11.99,17.99,23.99,29.99,35.99,47.99,59.99},{0,0.4,0.5,0.75,1,1.25,1.5,2,2.5}),M14,((L14+M14)/2-(D14-E14)/2))</f>
        <v>32</v>
      </c>
      <c r="P14" s="141">
        <f t="shared" si="3"/>
        <v>16</v>
      </c>
      <c r="Q14" s="141">
        <f t="shared" si="4"/>
        <v>58.7</v>
      </c>
      <c r="R14" s="153">
        <v>20</v>
      </c>
      <c r="S14" s="158">
        <v>0</v>
      </c>
      <c r="T14" s="159" t="s">
        <v>93</v>
      </c>
      <c r="U14" s="159" t="s">
        <v>93</v>
      </c>
      <c r="V14" s="90">
        <f t="shared" si="5"/>
        <v>4.5</v>
      </c>
      <c r="W14" s="134">
        <f t="shared" si="9"/>
        <v>5</v>
      </c>
      <c r="X14" s="92" t="str">
        <f t="shared" si="6"/>
        <v/>
      </c>
      <c r="Y14" s="92" t="str">
        <f t="shared" si="7"/>
        <v/>
      </c>
      <c r="Z14" s="143" t="str">
        <f t="shared" si="8"/>
        <v/>
      </c>
      <c r="AB14" s="121" t="s">
        <v>116</v>
      </c>
      <c r="AC14" s="122"/>
      <c r="AD14" s="122"/>
      <c r="AE14" s="122"/>
      <c r="AF14" s="124"/>
      <c r="AG14" s="124"/>
      <c r="AH14" s="124"/>
      <c r="AI14" s="123"/>
      <c r="AJ14" s="24"/>
      <c r="AK14" s="201" t="s">
        <v>117</v>
      </c>
      <c r="AL14" s="203" t="s">
        <v>118</v>
      </c>
      <c r="AM14" s="194"/>
      <c r="AN14" s="194"/>
      <c r="AO14" s="194"/>
      <c r="AP14" s="194"/>
      <c r="AQ14" s="194"/>
      <c r="AR14" s="194"/>
      <c r="AS14" s="197"/>
      <c r="AT14" s="193" t="s">
        <v>119</v>
      </c>
      <c r="AU14" s="194"/>
      <c r="AV14" s="194"/>
      <c r="AW14" s="194"/>
      <c r="AX14" s="194"/>
      <c r="AY14" s="194"/>
      <c r="AZ14" s="194"/>
      <c r="BA14" s="195"/>
      <c r="BB14" s="196" t="s">
        <v>118</v>
      </c>
      <c r="BC14" s="194"/>
      <c r="BD14" s="194"/>
      <c r="BE14" s="194"/>
      <c r="BF14" s="194"/>
      <c r="BG14" s="194"/>
      <c r="BH14" s="194"/>
      <c r="BI14" s="197"/>
      <c r="BJ14" s="193" t="s">
        <v>119</v>
      </c>
      <c r="BK14" s="194"/>
      <c r="BL14" s="194"/>
      <c r="BM14" s="194"/>
      <c r="BN14" s="194"/>
      <c r="BO14" s="194"/>
      <c r="BP14" s="194"/>
      <c r="BQ14" s="195"/>
      <c r="BV14" s="75"/>
    </row>
    <row r="15" spans="1:74" x14ac:dyDescent="0.15">
      <c r="A15" s="130" t="s">
        <v>120</v>
      </c>
      <c r="B15" s="41">
        <v>12</v>
      </c>
      <c r="C15" s="188" t="s">
        <v>90</v>
      </c>
      <c r="D15" s="186">
        <v>510</v>
      </c>
      <c r="E15" s="186">
        <v>32</v>
      </c>
      <c r="F15" s="186">
        <v>116</v>
      </c>
      <c r="G15" s="141">
        <f t="shared" si="0"/>
        <v>31</v>
      </c>
      <c r="H15" s="141">
        <f t="shared" si="1"/>
        <v>16</v>
      </c>
      <c r="I15" s="141">
        <f t="shared" si="2"/>
        <v>54.7</v>
      </c>
      <c r="J15" s="158">
        <v>20</v>
      </c>
      <c r="K15" s="189" t="s">
        <v>91</v>
      </c>
      <c r="L15" s="186">
        <v>516</v>
      </c>
      <c r="M15" s="186">
        <v>30</v>
      </c>
      <c r="N15" s="186">
        <v>117</v>
      </c>
      <c r="O15" s="141">
        <f>IF(((L15-M15)/2-(D15-E15)/2)&lt;=LOOKUP(E15,{0,9.99,11.99,17.99,23.99,29.99,35.99,47.99,59.99},{0,0.4,0.5,0.75,1,1.25,1.5,2,2.5}),M15,((L15+M15)/2-(D15-E15)/2))</f>
        <v>34</v>
      </c>
      <c r="P15" s="141">
        <f t="shared" si="3"/>
        <v>16</v>
      </c>
      <c r="Q15" s="141">
        <f t="shared" si="4"/>
        <v>58.7</v>
      </c>
      <c r="R15" s="153">
        <v>20</v>
      </c>
      <c r="S15" s="158">
        <v>0</v>
      </c>
      <c r="T15" s="159" t="s">
        <v>93</v>
      </c>
      <c r="U15" s="159" t="s">
        <v>93</v>
      </c>
      <c r="V15" s="90">
        <f t="shared" si="5"/>
        <v>4.5</v>
      </c>
      <c r="W15" s="134">
        <f t="shared" si="9"/>
        <v>5</v>
      </c>
      <c r="X15" s="92" t="str">
        <f t="shared" si="6"/>
        <v/>
      </c>
      <c r="Y15" s="92" t="str">
        <f t="shared" si="7"/>
        <v/>
      </c>
      <c r="Z15" s="143" t="str">
        <f t="shared" si="8"/>
        <v/>
      </c>
      <c r="AB15" s="51"/>
      <c r="AC15" s="32">
        <v>54.7</v>
      </c>
      <c r="AD15" s="32">
        <v>56.7</v>
      </c>
      <c r="AE15" s="32">
        <v>58.7</v>
      </c>
      <c r="AF15" s="125">
        <v>60.7</v>
      </c>
      <c r="AG15" s="125">
        <v>62.7</v>
      </c>
      <c r="AH15" s="125">
        <v>64.7</v>
      </c>
      <c r="AI15" s="52">
        <v>66.7</v>
      </c>
      <c r="AK15" s="202"/>
      <c r="AL15" s="29"/>
      <c r="AM15" s="32">
        <v>54.7</v>
      </c>
      <c r="AN15" s="32">
        <v>56.7</v>
      </c>
      <c r="AO15" s="32">
        <v>58.7</v>
      </c>
      <c r="AP15" s="32">
        <v>60.7</v>
      </c>
      <c r="AQ15" s="32">
        <v>62.7</v>
      </c>
      <c r="AR15" s="32">
        <v>64.7</v>
      </c>
      <c r="AS15" s="32">
        <v>66.7</v>
      </c>
      <c r="AT15" s="32"/>
      <c r="AU15" s="32">
        <v>54.7</v>
      </c>
      <c r="AV15" s="32">
        <v>56.7</v>
      </c>
      <c r="AW15" s="32">
        <v>58.7</v>
      </c>
      <c r="AX15" s="125">
        <v>60.7</v>
      </c>
      <c r="AY15" s="125">
        <v>62.7</v>
      </c>
      <c r="AZ15" s="125">
        <v>64.7</v>
      </c>
      <c r="BA15" s="52">
        <v>66.7</v>
      </c>
      <c r="BB15" s="29"/>
      <c r="BC15" s="32">
        <v>54.7</v>
      </c>
      <c r="BD15" s="32">
        <v>56.7</v>
      </c>
      <c r="BE15" s="32">
        <v>58.7</v>
      </c>
      <c r="BF15" s="32">
        <v>60.7</v>
      </c>
      <c r="BG15" s="32">
        <v>62.7</v>
      </c>
      <c r="BH15" s="32">
        <v>64.7</v>
      </c>
      <c r="BI15" s="32">
        <v>66.7</v>
      </c>
      <c r="BJ15" s="32"/>
      <c r="BK15" s="32">
        <v>54.7</v>
      </c>
      <c r="BL15" s="32">
        <v>56.7</v>
      </c>
      <c r="BM15" s="32">
        <v>58.7</v>
      </c>
      <c r="BN15" s="125">
        <v>60.7</v>
      </c>
      <c r="BO15" s="125">
        <v>62.7</v>
      </c>
      <c r="BP15" s="125">
        <v>64.7</v>
      </c>
      <c r="BQ15" s="52">
        <v>66.7</v>
      </c>
      <c r="BV15" s="1"/>
    </row>
    <row r="16" spans="1:74" x14ac:dyDescent="0.15">
      <c r="A16" s="130" t="s">
        <v>121</v>
      </c>
      <c r="B16" s="41">
        <v>13</v>
      </c>
      <c r="C16" s="188" t="s">
        <v>90</v>
      </c>
      <c r="D16" s="186">
        <v>520</v>
      </c>
      <c r="E16" s="186">
        <v>34</v>
      </c>
      <c r="F16" s="186">
        <v>118</v>
      </c>
      <c r="G16" s="141">
        <f t="shared" si="0"/>
        <v>33</v>
      </c>
      <c r="H16" s="141">
        <f t="shared" si="1"/>
        <v>16</v>
      </c>
      <c r="I16" s="141">
        <f t="shared" si="2"/>
        <v>54.7</v>
      </c>
      <c r="J16" s="158">
        <v>20</v>
      </c>
      <c r="K16" s="189" t="s">
        <v>91</v>
      </c>
      <c r="L16" s="186">
        <v>526</v>
      </c>
      <c r="M16" s="186">
        <v>32</v>
      </c>
      <c r="N16" s="186">
        <v>120</v>
      </c>
      <c r="O16" s="141">
        <f>IF(((L16-M16)/2-(D16-E16)/2)&lt;=LOOKUP(E16,{0,9.99,11.99,17.99,23.99,29.99,35.99,47.99,59.99},{0,0.4,0.5,0.75,1,1.25,1.5,2,2.5}),M16,((L16+M16)/2-(D16-E16)/2))</f>
        <v>36</v>
      </c>
      <c r="P16" s="141">
        <f t="shared" si="3"/>
        <v>16</v>
      </c>
      <c r="Q16" s="141">
        <f t="shared" si="4"/>
        <v>58.7</v>
      </c>
      <c r="R16" s="153">
        <v>20</v>
      </c>
      <c r="S16" s="158">
        <v>0</v>
      </c>
      <c r="T16" s="159" t="s">
        <v>93</v>
      </c>
      <c r="U16" s="159" t="s">
        <v>93</v>
      </c>
      <c r="V16" s="90">
        <f t="shared" si="5"/>
        <v>4.5</v>
      </c>
      <c r="W16" s="134">
        <f t="shared" si="9"/>
        <v>5</v>
      </c>
      <c r="X16" s="92" t="str">
        <f t="shared" si="6"/>
        <v/>
      </c>
      <c r="Y16" s="92" t="str">
        <f t="shared" si="7"/>
        <v/>
      </c>
      <c r="Z16" s="143" t="str">
        <f t="shared" si="8"/>
        <v/>
      </c>
      <c r="AB16" s="46">
        <v>12.5</v>
      </c>
      <c r="AC16" s="30">
        <v>10.5</v>
      </c>
      <c r="AD16" s="30">
        <v>10.8</v>
      </c>
      <c r="AE16" s="30">
        <v>11.1</v>
      </c>
      <c r="AF16" s="126">
        <v>11.3</v>
      </c>
      <c r="AG16" s="126"/>
      <c r="AH16" s="126"/>
      <c r="AI16" s="53"/>
      <c r="AK16" s="46">
        <v>20</v>
      </c>
      <c r="AL16" s="32">
        <v>12.5</v>
      </c>
      <c r="AM16" s="30">
        <v>7.8</v>
      </c>
      <c r="AN16" s="30">
        <v>7.48</v>
      </c>
      <c r="AO16" s="30">
        <v>7.37</v>
      </c>
      <c r="AP16" s="30"/>
      <c r="AQ16" s="30"/>
      <c r="AR16" s="30"/>
      <c r="AS16" s="30"/>
      <c r="AT16" s="32">
        <v>12.5</v>
      </c>
      <c r="AU16" s="30">
        <v>3.62</v>
      </c>
      <c r="AV16" s="30">
        <v>3.33</v>
      </c>
      <c r="AW16" s="30">
        <v>3.27</v>
      </c>
      <c r="AX16" s="126"/>
      <c r="AY16" s="126"/>
      <c r="AZ16" s="126"/>
      <c r="BA16" s="53"/>
      <c r="BB16" s="32">
        <v>12.5</v>
      </c>
      <c r="BC16" s="30"/>
      <c r="BD16" s="30">
        <v>7.54</v>
      </c>
      <c r="BE16" s="30">
        <v>7.51</v>
      </c>
      <c r="BF16" s="30">
        <v>7.49</v>
      </c>
      <c r="BG16" s="30"/>
      <c r="BH16" s="30"/>
      <c r="BI16" s="30"/>
      <c r="BJ16" s="32">
        <v>12.5</v>
      </c>
      <c r="BK16" s="30"/>
      <c r="BL16" s="30">
        <v>3.39</v>
      </c>
      <c r="BM16" s="30">
        <v>3.41</v>
      </c>
      <c r="BN16" s="126">
        <v>3.44</v>
      </c>
      <c r="BO16" s="126"/>
      <c r="BP16" s="126"/>
      <c r="BQ16" s="53"/>
    </row>
    <row r="17" spans="1:74" x14ac:dyDescent="0.15">
      <c r="A17" s="130" t="s">
        <v>122</v>
      </c>
      <c r="B17" s="41">
        <v>14</v>
      </c>
      <c r="C17" s="188" t="s">
        <v>90</v>
      </c>
      <c r="D17" s="186">
        <v>531</v>
      </c>
      <c r="E17" s="186">
        <v>37</v>
      </c>
      <c r="F17" s="186">
        <v>120</v>
      </c>
      <c r="G17" s="141">
        <f t="shared" si="0"/>
        <v>35</v>
      </c>
      <c r="H17" s="141">
        <f t="shared" si="1"/>
        <v>16</v>
      </c>
      <c r="I17" s="141">
        <f t="shared" si="2"/>
        <v>54.7</v>
      </c>
      <c r="J17" s="158">
        <v>20</v>
      </c>
      <c r="K17" s="189" t="s">
        <v>91</v>
      </c>
      <c r="L17" s="186">
        <v>537</v>
      </c>
      <c r="M17" s="186">
        <v>35</v>
      </c>
      <c r="N17" s="186">
        <v>122</v>
      </c>
      <c r="O17" s="141">
        <f>IF(((L17-M17)/2-(D17-E17)/2)&lt;=LOOKUP(E17,{0,9.99,11.99,17.99,23.99,29.99,35.99,47.99,59.99},{0,0.4,0.5,0.75,1,1.25,1.5,2,2.5}),M17,((L17+M17)/2-(D17-E17)/2))</f>
        <v>39</v>
      </c>
      <c r="P17" s="141">
        <f t="shared" si="3"/>
        <v>16</v>
      </c>
      <c r="Q17" s="141">
        <f t="shared" si="4"/>
        <v>58.7</v>
      </c>
      <c r="R17" s="153">
        <v>20</v>
      </c>
      <c r="S17" s="158">
        <v>0</v>
      </c>
      <c r="T17" s="159" t="s">
        <v>93</v>
      </c>
      <c r="U17" s="159" t="s">
        <v>93</v>
      </c>
      <c r="V17" s="90">
        <f t="shared" si="5"/>
        <v>4.5</v>
      </c>
      <c r="W17" s="134">
        <f t="shared" si="9"/>
        <v>5</v>
      </c>
      <c r="X17" s="92" t="str">
        <f t="shared" si="6"/>
        <v/>
      </c>
      <c r="Y17" s="92" t="str">
        <f t="shared" si="7"/>
        <v/>
      </c>
      <c r="Z17" s="143" t="str">
        <f t="shared" si="8"/>
        <v/>
      </c>
      <c r="AB17" s="46">
        <v>16</v>
      </c>
      <c r="AC17" s="30">
        <v>13.5</v>
      </c>
      <c r="AD17" s="30">
        <v>13.8</v>
      </c>
      <c r="AE17" s="30">
        <v>14.1</v>
      </c>
      <c r="AF17" s="126">
        <v>14.4</v>
      </c>
      <c r="AG17" s="126"/>
      <c r="AH17" s="126"/>
      <c r="AI17" s="53"/>
      <c r="AK17" s="46">
        <v>20</v>
      </c>
      <c r="AL17" s="32">
        <v>16</v>
      </c>
      <c r="AM17" s="30">
        <v>10</v>
      </c>
      <c r="AN17" s="30">
        <v>9.65</v>
      </c>
      <c r="AO17" s="30">
        <v>9.51</v>
      </c>
      <c r="AP17" s="30">
        <v>9.3800000000000008</v>
      </c>
      <c r="AQ17" s="30"/>
      <c r="AR17" s="30"/>
      <c r="AS17" s="30"/>
      <c r="AT17" s="32">
        <v>16</v>
      </c>
      <c r="AU17" s="30">
        <v>4.6500000000000004</v>
      </c>
      <c r="AV17" s="30">
        <v>4.34</v>
      </c>
      <c r="AW17" s="30">
        <v>4.26</v>
      </c>
      <c r="AX17" s="126">
        <v>4.2</v>
      </c>
      <c r="AY17" s="126"/>
      <c r="AZ17" s="126"/>
      <c r="BA17" s="53"/>
      <c r="BB17" s="32">
        <v>16</v>
      </c>
      <c r="BC17" s="30"/>
      <c r="BD17" s="30">
        <v>9.6300000000000008</v>
      </c>
      <c r="BE17" s="30">
        <v>9.59</v>
      </c>
      <c r="BF17" s="30">
        <v>9.57</v>
      </c>
      <c r="BG17" s="30"/>
      <c r="BH17" s="30"/>
      <c r="BI17" s="30"/>
      <c r="BJ17" s="32">
        <v>16</v>
      </c>
      <c r="BK17" s="30"/>
      <c r="BL17" s="30">
        <v>4.32</v>
      </c>
      <c r="BM17" s="30">
        <v>4.34</v>
      </c>
      <c r="BN17" s="126">
        <v>4.38</v>
      </c>
      <c r="BO17" s="126"/>
      <c r="BP17" s="126"/>
      <c r="BQ17" s="53"/>
    </row>
    <row r="18" spans="1:74" ht="15" customHeight="1" thickBot="1" x14ac:dyDescent="0.2">
      <c r="A18" s="130" t="s">
        <v>123</v>
      </c>
      <c r="B18" s="41">
        <v>15</v>
      </c>
      <c r="C18" s="190" t="s">
        <v>90</v>
      </c>
      <c r="D18" s="187">
        <v>542</v>
      </c>
      <c r="E18" s="187">
        <v>40</v>
      </c>
      <c r="F18" s="187">
        <v>124</v>
      </c>
      <c r="G18" s="141">
        <f t="shared" si="0"/>
        <v>38</v>
      </c>
      <c r="H18" s="141">
        <f t="shared" si="1"/>
        <v>16</v>
      </c>
      <c r="I18" s="141">
        <f t="shared" si="2"/>
        <v>54.7</v>
      </c>
      <c r="J18" s="158">
        <v>20</v>
      </c>
      <c r="K18" s="190" t="s">
        <v>124</v>
      </c>
      <c r="L18" s="187">
        <v>543</v>
      </c>
      <c r="M18" s="187">
        <v>41</v>
      </c>
      <c r="N18" s="187">
        <v>123</v>
      </c>
      <c r="O18" s="141">
        <f>IF(((L18-M18)/2-(D18-E18)/2)&lt;=LOOKUP(E18,{0,9.99,11.99,17.99,23.99,29.99,35.99,47.99,59.99},{0,0.4,0.5,0.75,1,1.25,1.5,2,2.5}),M18,((L18+M18)/2-(D18-E18)/2))</f>
        <v>41</v>
      </c>
      <c r="P18" s="141">
        <f t="shared" si="3"/>
        <v>16</v>
      </c>
      <c r="Q18" s="141">
        <f t="shared" si="4"/>
        <v>56.7</v>
      </c>
      <c r="R18" s="153">
        <v>20</v>
      </c>
      <c r="S18" s="158">
        <v>0</v>
      </c>
      <c r="T18" s="159" t="s">
        <v>93</v>
      </c>
      <c r="U18" s="159" t="s">
        <v>92</v>
      </c>
      <c r="V18" s="90">
        <f t="shared" si="5"/>
        <v>4.5</v>
      </c>
      <c r="W18" s="134">
        <f t="shared" si="9"/>
        <v>5</v>
      </c>
      <c r="X18" s="92">
        <f t="shared" si="6"/>
        <v>1</v>
      </c>
      <c r="Y18" s="92" t="str">
        <f t="shared" si="7"/>
        <v/>
      </c>
      <c r="Z18" s="143" t="str">
        <f t="shared" si="8"/>
        <v/>
      </c>
      <c r="AB18" s="46">
        <v>20</v>
      </c>
      <c r="AC18" s="30">
        <v>16.8</v>
      </c>
      <c r="AD18" s="30">
        <v>17.3</v>
      </c>
      <c r="AE18" s="30">
        <v>17.7</v>
      </c>
      <c r="AF18" s="126">
        <v>18</v>
      </c>
      <c r="AG18" s="126"/>
      <c r="AH18" s="126"/>
      <c r="AI18" s="53"/>
      <c r="AK18" s="46">
        <v>20</v>
      </c>
      <c r="AL18" s="32">
        <v>20</v>
      </c>
      <c r="AM18" s="30">
        <v>12.5</v>
      </c>
      <c r="AN18" s="30">
        <v>12.15</v>
      </c>
      <c r="AO18" s="30">
        <v>11.98</v>
      </c>
      <c r="AP18" s="30">
        <v>11.82</v>
      </c>
      <c r="AQ18" s="30"/>
      <c r="AR18" s="30"/>
      <c r="AS18" s="30"/>
      <c r="AT18" s="32">
        <v>20</v>
      </c>
      <c r="AU18" s="30">
        <v>5.81</v>
      </c>
      <c r="AV18" s="30">
        <v>5.51</v>
      </c>
      <c r="AW18" s="30">
        <v>5.41</v>
      </c>
      <c r="AX18" s="126">
        <v>5.34</v>
      </c>
      <c r="AY18" s="126"/>
      <c r="AZ18" s="126"/>
      <c r="BA18" s="53"/>
      <c r="BB18" s="32">
        <v>20</v>
      </c>
      <c r="BC18" s="30"/>
      <c r="BD18" s="30">
        <v>12.04</v>
      </c>
      <c r="BE18" s="30">
        <v>12</v>
      </c>
      <c r="BF18" s="30">
        <v>11.96</v>
      </c>
      <c r="BG18" s="30"/>
      <c r="BH18" s="30"/>
      <c r="BI18" s="30"/>
      <c r="BJ18" s="32">
        <v>20</v>
      </c>
      <c r="BK18" s="30"/>
      <c r="BL18" s="30">
        <v>5.4</v>
      </c>
      <c r="BM18" s="30">
        <v>5.43</v>
      </c>
      <c r="BN18" s="126">
        <v>5.48</v>
      </c>
      <c r="BO18" s="126"/>
      <c r="BP18" s="126"/>
      <c r="BQ18" s="53"/>
    </row>
    <row r="19" spans="1:74" ht="15" customHeight="1" thickTop="1" x14ac:dyDescent="0.15">
      <c r="A19" s="130" t="s">
        <v>125</v>
      </c>
      <c r="B19" s="41">
        <v>16</v>
      </c>
      <c r="C19" s="189" t="s">
        <v>90</v>
      </c>
      <c r="D19" s="186">
        <v>539</v>
      </c>
      <c r="E19" s="186">
        <v>38</v>
      </c>
      <c r="F19" s="186">
        <v>122</v>
      </c>
      <c r="G19" s="141">
        <f t="shared" si="0"/>
        <v>38</v>
      </c>
      <c r="H19" s="141">
        <f t="shared" si="1"/>
        <v>16</v>
      </c>
      <c r="I19" s="141">
        <f t="shared" si="2"/>
        <v>54.7</v>
      </c>
      <c r="J19" s="158">
        <v>20</v>
      </c>
      <c r="K19" s="189" t="s">
        <v>124</v>
      </c>
      <c r="L19" s="186">
        <v>541</v>
      </c>
      <c r="M19" s="186">
        <v>39</v>
      </c>
      <c r="N19" s="186">
        <v>123</v>
      </c>
      <c r="O19" s="141">
        <f>IF(((L19-M19)/2-(D19-E19)/2)&lt;=LOOKUP(E19,{0,9.99,11.99,17.99,23.99,29.99,35.99,47.99,59.99},{0,0.4,0.5,0.75,1,1.25,1.5,2,2.5}),M19,((L19+M19)/2-(D19-E19)/2))</f>
        <v>39</v>
      </c>
      <c r="P19" s="141">
        <f t="shared" si="3"/>
        <v>16</v>
      </c>
      <c r="Q19" s="141">
        <f t="shared" si="4"/>
        <v>56.7</v>
      </c>
      <c r="R19" s="153">
        <v>20</v>
      </c>
      <c r="S19" s="158">
        <v>0</v>
      </c>
      <c r="T19" s="159" t="s">
        <v>92</v>
      </c>
      <c r="U19" s="159" t="s">
        <v>93</v>
      </c>
      <c r="V19" s="90">
        <f t="shared" si="5"/>
        <v>4.5</v>
      </c>
      <c r="W19" s="134">
        <f t="shared" si="9"/>
        <v>5</v>
      </c>
      <c r="X19" s="92" t="str">
        <f t="shared" si="6"/>
        <v/>
      </c>
      <c r="Y19" s="92" t="str">
        <f t="shared" si="7"/>
        <v/>
      </c>
      <c r="Z19" s="143" t="str">
        <f t="shared" si="8"/>
        <v/>
      </c>
      <c r="AB19" s="46">
        <v>25</v>
      </c>
      <c r="AC19" s="30">
        <v>21.1</v>
      </c>
      <c r="AD19" s="30">
        <v>21.6</v>
      </c>
      <c r="AE19" s="30">
        <v>22.1</v>
      </c>
      <c r="AF19" s="126">
        <v>22.5</v>
      </c>
      <c r="AG19" s="126"/>
      <c r="AH19" s="126"/>
      <c r="AI19" s="53"/>
      <c r="AK19" s="46">
        <v>20</v>
      </c>
      <c r="AL19" s="32">
        <v>25</v>
      </c>
      <c r="AM19" s="30">
        <v>15.6</v>
      </c>
      <c r="AN19" s="30">
        <v>15.27</v>
      </c>
      <c r="AO19" s="30">
        <v>15.06</v>
      </c>
      <c r="AP19" s="30">
        <v>14.86</v>
      </c>
      <c r="AQ19" s="30"/>
      <c r="AR19" s="30"/>
      <c r="AS19" s="30"/>
      <c r="AT19" s="32">
        <v>25</v>
      </c>
      <c r="AU19" s="30">
        <v>7.24</v>
      </c>
      <c r="AV19" s="30">
        <v>6.97</v>
      </c>
      <c r="AW19" s="30">
        <v>6.85</v>
      </c>
      <c r="AX19" s="126">
        <v>6.76</v>
      </c>
      <c r="AY19" s="126"/>
      <c r="AZ19" s="126"/>
      <c r="BA19" s="53"/>
      <c r="BB19" s="32">
        <v>25</v>
      </c>
      <c r="BC19" s="30"/>
      <c r="BD19" s="30">
        <v>15.05</v>
      </c>
      <c r="BE19" s="30">
        <v>15</v>
      </c>
      <c r="BF19" s="30">
        <v>14.95</v>
      </c>
      <c r="BG19" s="30"/>
      <c r="BH19" s="30"/>
      <c r="BI19" s="30"/>
      <c r="BJ19" s="32">
        <v>25</v>
      </c>
      <c r="BK19" s="30"/>
      <c r="BL19" s="30">
        <v>6.76</v>
      </c>
      <c r="BM19" s="30">
        <v>6.79</v>
      </c>
      <c r="BN19" s="126">
        <v>6.85</v>
      </c>
      <c r="BO19" s="126"/>
      <c r="BP19" s="126"/>
      <c r="BQ19" s="53"/>
    </row>
    <row r="20" spans="1:74" x14ac:dyDescent="0.15">
      <c r="A20" s="130" t="s">
        <v>126</v>
      </c>
      <c r="B20" s="41">
        <v>17</v>
      </c>
      <c r="C20" s="188" t="s">
        <v>90</v>
      </c>
      <c r="D20" s="186">
        <v>544</v>
      </c>
      <c r="E20" s="186">
        <v>41</v>
      </c>
      <c r="F20" s="186">
        <v>124</v>
      </c>
      <c r="G20" s="141">
        <f t="shared" si="0"/>
        <v>41</v>
      </c>
      <c r="H20" s="141">
        <f t="shared" si="1"/>
        <v>16</v>
      </c>
      <c r="I20" s="141">
        <f t="shared" si="2"/>
        <v>54.7</v>
      </c>
      <c r="J20" s="158">
        <v>20</v>
      </c>
      <c r="K20" s="189" t="s">
        <v>124</v>
      </c>
      <c r="L20" s="186">
        <v>546</v>
      </c>
      <c r="M20" s="186">
        <v>42</v>
      </c>
      <c r="N20" s="186">
        <v>124</v>
      </c>
      <c r="O20" s="141">
        <f>IF(((L20-M20)/2-(D20-E20)/2)&lt;=LOOKUP(E20,{0,9.99,11.99,17.99,23.99,29.99,35.99,47.99,59.99},{0,0.4,0.5,0.75,1,1.25,1.5,2,2.5}),M20,((L20+M20)/2-(D20-E20)/2))</f>
        <v>42</v>
      </c>
      <c r="P20" s="141">
        <f t="shared" si="3"/>
        <v>16</v>
      </c>
      <c r="Q20" s="141">
        <f t="shared" si="4"/>
        <v>56.7</v>
      </c>
      <c r="R20" s="153">
        <v>20</v>
      </c>
      <c r="S20" s="158">
        <v>0</v>
      </c>
      <c r="T20" s="159" t="s">
        <v>93</v>
      </c>
      <c r="U20" s="159" t="s">
        <v>93</v>
      </c>
      <c r="V20" s="90">
        <f t="shared" si="5"/>
        <v>4.5</v>
      </c>
      <c r="W20" s="134">
        <f t="shared" si="9"/>
        <v>5</v>
      </c>
      <c r="X20" s="92" t="str">
        <f t="shared" si="6"/>
        <v/>
      </c>
      <c r="Y20" s="92" t="str">
        <f t="shared" si="7"/>
        <v/>
      </c>
      <c r="Z20" s="143" t="str">
        <f t="shared" si="8"/>
        <v/>
      </c>
      <c r="AB20" s="46">
        <v>32</v>
      </c>
      <c r="AC20" s="109"/>
      <c r="AD20" s="109"/>
      <c r="AE20" s="109">
        <v>28.3</v>
      </c>
      <c r="AF20" s="127">
        <v>28.9</v>
      </c>
      <c r="AG20" s="127">
        <v>29.4</v>
      </c>
      <c r="AH20" s="127">
        <v>30</v>
      </c>
      <c r="AI20" s="110"/>
      <c r="AK20" s="46">
        <v>20</v>
      </c>
      <c r="AL20" s="32">
        <v>32</v>
      </c>
      <c r="AM20" s="30"/>
      <c r="AN20" s="30"/>
      <c r="AO20" s="109">
        <v>19.27</v>
      </c>
      <c r="AP20" s="109">
        <v>19.02</v>
      </c>
      <c r="AQ20" s="109">
        <v>18.86</v>
      </c>
      <c r="AR20" s="109"/>
      <c r="AS20" s="109"/>
      <c r="AT20" s="32">
        <v>32</v>
      </c>
      <c r="AU20" s="30"/>
      <c r="AV20" s="30"/>
      <c r="AW20" s="109">
        <v>8.77</v>
      </c>
      <c r="AX20" s="127">
        <v>8.65</v>
      </c>
      <c r="AY20" s="127">
        <v>8.65</v>
      </c>
      <c r="AZ20" s="127"/>
      <c r="BA20" s="110"/>
      <c r="BB20" s="32">
        <v>32</v>
      </c>
      <c r="BC20" s="30"/>
      <c r="BD20" s="30"/>
      <c r="BE20" s="30"/>
      <c r="BF20" s="109">
        <v>19.13</v>
      </c>
      <c r="BG20" s="109">
        <v>19.09</v>
      </c>
      <c r="BH20" s="109">
        <v>18.850000000000001</v>
      </c>
      <c r="BI20" s="109"/>
      <c r="BJ20" s="32">
        <v>32</v>
      </c>
      <c r="BK20" s="30"/>
      <c r="BL20" s="30"/>
      <c r="BM20" s="30"/>
      <c r="BN20" s="127">
        <v>8.76</v>
      </c>
      <c r="BO20" s="127">
        <v>8.8800000000000008</v>
      </c>
      <c r="BP20" s="127">
        <v>8.83</v>
      </c>
      <c r="BQ20" s="110"/>
    </row>
    <row r="21" spans="1:74" x14ac:dyDescent="0.15">
      <c r="A21" s="130" t="s">
        <v>127</v>
      </c>
      <c r="B21" s="41">
        <v>18</v>
      </c>
      <c r="C21" s="188" t="s">
        <v>90</v>
      </c>
      <c r="D21" s="186">
        <v>549</v>
      </c>
      <c r="E21" s="186">
        <v>44</v>
      </c>
      <c r="F21" s="186">
        <v>124</v>
      </c>
      <c r="G21" s="141">
        <f t="shared" si="0"/>
        <v>44</v>
      </c>
      <c r="H21" s="141">
        <f t="shared" si="1"/>
        <v>16</v>
      </c>
      <c r="I21" s="141">
        <f t="shared" si="2"/>
        <v>54.7</v>
      </c>
      <c r="J21" s="158">
        <v>20</v>
      </c>
      <c r="K21" s="189" t="s">
        <v>124</v>
      </c>
      <c r="L21" s="186">
        <v>551</v>
      </c>
      <c r="M21" s="186">
        <v>45</v>
      </c>
      <c r="N21" s="186">
        <v>125</v>
      </c>
      <c r="O21" s="141">
        <f>IF(((L21-M21)/2-(D21-E21)/2)&lt;=LOOKUP(E21,{0,9.99,11.99,17.99,23.99,29.99,35.99,47.99,59.99},{0,0.4,0.5,0.75,1,1.25,1.5,2,2.5}),M21,((L21+M21)/2-(D21-E21)/2))</f>
        <v>45</v>
      </c>
      <c r="P21" s="141">
        <f t="shared" si="3"/>
        <v>16</v>
      </c>
      <c r="Q21" s="141">
        <f t="shared" si="4"/>
        <v>56.7</v>
      </c>
      <c r="R21" s="153">
        <v>20</v>
      </c>
      <c r="S21" s="158">
        <v>0</v>
      </c>
      <c r="T21" s="159" t="s">
        <v>93</v>
      </c>
      <c r="U21" s="159" t="s">
        <v>93</v>
      </c>
      <c r="V21" s="90">
        <f t="shared" si="5"/>
        <v>4.5</v>
      </c>
      <c r="W21" s="134">
        <f t="shared" si="9"/>
        <v>5</v>
      </c>
      <c r="X21" s="92" t="str">
        <f t="shared" si="6"/>
        <v/>
      </c>
      <c r="Y21" s="92" t="str">
        <f t="shared" si="7"/>
        <v/>
      </c>
      <c r="Z21" s="143" t="str">
        <f t="shared" si="8"/>
        <v/>
      </c>
      <c r="AB21" s="46">
        <v>40</v>
      </c>
      <c r="AC21" s="30"/>
      <c r="AD21" s="30"/>
      <c r="AE21" s="30"/>
      <c r="AF21" s="126"/>
      <c r="AG21" s="126"/>
      <c r="AH21" s="126"/>
      <c r="AI21" s="53"/>
      <c r="AK21" s="46">
        <v>20</v>
      </c>
      <c r="AL21" s="32">
        <v>40</v>
      </c>
      <c r="AM21" s="30"/>
      <c r="AN21" s="30"/>
      <c r="AO21" s="30"/>
      <c r="AP21" s="30"/>
      <c r="AQ21" s="30"/>
      <c r="AR21" s="30"/>
      <c r="AS21" s="30"/>
      <c r="AT21" s="32">
        <v>40</v>
      </c>
      <c r="AU21" s="30"/>
      <c r="AV21" s="30"/>
      <c r="AW21" s="30"/>
      <c r="AX21" s="126"/>
      <c r="AY21" s="126"/>
      <c r="AZ21" s="126"/>
      <c r="BA21" s="53"/>
      <c r="BB21" s="32">
        <v>40</v>
      </c>
      <c r="BC21" s="30"/>
      <c r="BD21" s="30"/>
      <c r="BE21" s="30"/>
      <c r="BF21" s="30"/>
      <c r="BG21" s="30"/>
      <c r="BH21" s="30"/>
      <c r="BI21" s="30"/>
      <c r="BJ21" s="32">
        <v>40</v>
      </c>
      <c r="BK21" s="30"/>
      <c r="BL21" s="30"/>
      <c r="BM21" s="30"/>
      <c r="BN21" s="126"/>
      <c r="BO21" s="126"/>
      <c r="BP21" s="126"/>
      <c r="BQ21" s="53"/>
    </row>
    <row r="22" spans="1:74" ht="15" customHeight="1" thickBot="1" x14ac:dyDescent="0.2">
      <c r="A22" s="130" t="s">
        <v>128</v>
      </c>
      <c r="B22" s="41">
        <v>19</v>
      </c>
      <c r="C22" s="188" t="s">
        <v>90</v>
      </c>
      <c r="D22" s="186">
        <v>555</v>
      </c>
      <c r="E22" s="186">
        <v>48</v>
      </c>
      <c r="F22" s="186">
        <v>126</v>
      </c>
      <c r="G22" s="141">
        <f t="shared" si="0"/>
        <v>47.5</v>
      </c>
      <c r="H22" s="141">
        <f t="shared" si="1"/>
        <v>16</v>
      </c>
      <c r="I22" s="141">
        <f t="shared" si="2"/>
        <v>54.7</v>
      </c>
      <c r="J22" s="158">
        <v>20</v>
      </c>
      <c r="K22" s="189" t="s">
        <v>124</v>
      </c>
      <c r="L22" s="186">
        <v>558</v>
      </c>
      <c r="M22" s="186">
        <v>50</v>
      </c>
      <c r="N22" s="186">
        <v>127</v>
      </c>
      <c r="O22" s="141">
        <f>IF(((L22-M22)/2-(D22-E22)/2)&lt;=LOOKUP(E22,{0,9.99,11.99,17.99,23.99,29.99,35.99,47.99,59.99},{0,0.4,0.5,0.75,1,1.25,1.5,2,2.5}),M22,((L22+M22)/2-(D22-E22)/2))</f>
        <v>50</v>
      </c>
      <c r="P22" s="141">
        <f t="shared" si="3"/>
        <v>16</v>
      </c>
      <c r="Q22" s="141">
        <f t="shared" si="4"/>
        <v>56.7</v>
      </c>
      <c r="R22" s="153">
        <v>20</v>
      </c>
      <c r="S22" s="158">
        <v>0</v>
      </c>
      <c r="T22" s="159" t="s">
        <v>93</v>
      </c>
      <c r="U22" s="159" t="s">
        <v>93</v>
      </c>
      <c r="V22" s="90">
        <f t="shared" si="5"/>
        <v>4.5</v>
      </c>
      <c r="W22" s="134">
        <f t="shared" si="9"/>
        <v>5</v>
      </c>
      <c r="X22" s="92" t="str">
        <f t="shared" si="6"/>
        <v/>
      </c>
      <c r="Y22" s="92" t="str">
        <f t="shared" si="7"/>
        <v/>
      </c>
      <c r="Z22" s="143" t="str">
        <f t="shared" si="8"/>
        <v/>
      </c>
      <c r="AB22" s="48">
        <v>50</v>
      </c>
      <c r="AC22" s="54"/>
      <c r="AD22" s="54"/>
      <c r="AE22" s="54"/>
      <c r="AF22" s="128"/>
      <c r="AG22" s="128"/>
      <c r="AH22" s="128"/>
      <c r="AI22" s="55"/>
      <c r="AK22" s="46">
        <v>20</v>
      </c>
      <c r="AL22" s="32">
        <v>50</v>
      </c>
      <c r="AM22" s="30"/>
      <c r="AN22" s="30"/>
      <c r="AO22" s="30"/>
      <c r="AP22" s="30"/>
      <c r="AQ22" s="30"/>
      <c r="AR22" s="30"/>
      <c r="AS22" s="30"/>
      <c r="AT22" s="32">
        <v>50</v>
      </c>
      <c r="AU22" s="30"/>
      <c r="AV22" s="30"/>
      <c r="AW22" s="30"/>
      <c r="AX22" s="126"/>
      <c r="AY22" s="126"/>
      <c r="AZ22" s="126"/>
      <c r="BA22" s="53"/>
      <c r="BB22" s="32">
        <v>50</v>
      </c>
      <c r="BC22" s="30"/>
      <c r="BD22" s="30"/>
      <c r="BE22" s="30"/>
      <c r="BF22" s="30"/>
      <c r="BG22" s="30"/>
      <c r="BH22" s="30"/>
      <c r="BI22" s="30"/>
      <c r="BJ22" s="32">
        <v>50</v>
      </c>
      <c r="BK22" s="30"/>
      <c r="BL22" s="30"/>
      <c r="BM22" s="30"/>
      <c r="BN22" s="126"/>
      <c r="BO22" s="126"/>
      <c r="BP22" s="126"/>
      <c r="BQ22" s="53"/>
    </row>
    <row r="23" spans="1:74" ht="15" customHeight="1" thickBot="1" x14ac:dyDescent="0.2">
      <c r="A23" s="130" t="s">
        <v>129</v>
      </c>
      <c r="B23" s="41">
        <v>20</v>
      </c>
      <c r="C23" s="190" t="s">
        <v>90</v>
      </c>
      <c r="D23" s="187">
        <v>562</v>
      </c>
      <c r="E23" s="187">
        <v>53</v>
      </c>
      <c r="F23" s="187">
        <v>128</v>
      </c>
      <c r="G23" s="141">
        <f t="shared" si="0"/>
        <v>52.5</v>
      </c>
      <c r="H23" s="141">
        <f t="shared" si="1"/>
        <v>16</v>
      </c>
      <c r="I23" s="141">
        <f t="shared" si="2"/>
        <v>54.7</v>
      </c>
      <c r="J23" s="158">
        <v>20</v>
      </c>
      <c r="K23" s="190" t="s">
        <v>124</v>
      </c>
      <c r="L23" s="187">
        <v>565</v>
      </c>
      <c r="M23" s="187">
        <v>55</v>
      </c>
      <c r="N23" s="187">
        <v>128</v>
      </c>
      <c r="O23" s="141">
        <f>IF(((L23-M23)/2-(D23-E23)/2)&lt;=LOOKUP(E23,{0,9.99,11.99,17.99,23.99,29.99,35.99,47.99,59.99},{0,0.4,0.5,0.75,1,1.25,1.5,2,2.5}),M23,((L23+M23)/2-(D23-E23)/2))</f>
        <v>55</v>
      </c>
      <c r="P23" s="141">
        <f t="shared" si="3"/>
        <v>16</v>
      </c>
      <c r="Q23" s="141">
        <f t="shared" si="4"/>
        <v>56.7</v>
      </c>
      <c r="R23" s="153">
        <v>20</v>
      </c>
      <c r="S23" s="158">
        <v>0</v>
      </c>
      <c r="T23" s="159" t="s">
        <v>93</v>
      </c>
      <c r="U23" s="159" t="s">
        <v>92</v>
      </c>
      <c r="V23" s="90">
        <f t="shared" si="5"/>
        <v>4.5</v>
      </c>
      <c r="W23" s="134">
        <f t="shared" si="9"/>
        <v>5</v>
      </c>
      <c r="X23" s="92">
        <f t="shared" si="6"/>
        <v>1</v>
      </c>
      <c r="Y23" s="92" t="str">
        <f t="shared" si="7"/>
        <v/>
      </c>
      <c r="Z23" s="143" t="str">
        <f t="shared" si="8"/>
        <v/>
      </c>
      <c r="AK23" s="46">
        <v>20</v>
      </c>
      <c r="AL23" s="32"/>
      <c r="AM23" s="28"/>
      <c r="AN23" s="28"/>
      <c r="AO23" s="28"/>
      <c r="AP23" s="28"/>
      <c r="AQ23" s="28"/>
      <c r="AR23" s="28"/>
      <c r="AS23" s="28"/>
      <c r="AT23" s="32"/>
      <c r="AU23" s="28"/>
      <c r="AV23" s="28"/>
      <c r="AW23" s="28"/>
      <c r="AX23" s="31"/>
      <c r="AY23" s="31"/>
      <c r="AZ23" s="31"/>
      <c r="BA23" s="47"/>
      <c r="BB23" s="32"/>
      <c r="BC23" s="28"/>
      <c r="BD23" s="28"/>
      <c r="BE23" s="28"/>
      <c r="BF23" s="28"/>
      <c r="BG23" s="28"/>
      <c r="BH23" s="28"/>
      <c r="BI23" s="28"/>
      <c r="BJ23" s="32"/>
      <c r="BK23" s="28"/>
      <c r="BL23" s="28"/>
      <c r="BM23" s="28"/>
      <c r="BN23" s="31"/>
      <c r="BO23" s="31"/>
      <c r="BP23" s="31"/>
      <c r="BQ23" s="47"/>
    </row>
    <row r="24" spans="1:74" ht="15" customHeight="1" thickTop="1" x14ac:dyDescent="0.15">
      <c r="A24" s="130" t="s">
        <v>130</v>
      </c>
      <c r="B24" s="41">
        <v>21</v>
      </c>
      <c r="C24" s="189" t="s">
        <v>131</v>
      </c>
      <c r="D24" s="186">
        <v>565</v>
      </c>
      <c r="E24" s="186">
        <v>54</v>
      </c>
      <c r="F24" s="186">
        <v>102</v>
      </c>
      <c r="G24" s="141">
        <f t="shared" si="0"/>
        <v>54</v>
      </c>
      <c r="H24" s="141">
        <f t="shared" si="1"/>
        <v>20</v>
      </c>
      <c r="I24" s="141">
        <f t="shared" si="2"/>
        <v>56.7</v>
      </c>
      <c r="J24" s="158">
        <v>20</v>
      </c>
      <c r="K24" s="189" t="s">
        <v>132</v>
      </c>
      <c r="L24" s="186">
        <v>568</v>
      </c>
      <c r="M24" s="186">
        <v>56</v>
      </c>
      <c r="N24" s="186">
        <v>103</v>
      </c>
      <c r="O24" s="141">
        <f>IF(((L24-M24)/2-(D24-E24)/2)&lt;=LOOKUP(E24,{0,9.99,11.99,17.99,23.99,29.99,35.99,47.99,59.99},{0,0.4,0.5,0.75,1,1.25,1.5,2,2.5}),M24,((L24+M24)/2-(D24-E24)/2))</f>
        <v>56</v>
      </c>
      <c r="P24" s="141">
        <f t="shared" si="3"/>
        <v>20</v>
      </c>
      <c r="Q24" s="141">
        <f t="shared" si="4"/>
        <v>58.7</v>
      </c>
      <c r="R24" s="153">
        <v>20</v>
      </c>
      <c r="S24" s="158">
        <v>0</v>
      </c>
      <c r="T24" s="159" t="s">
        <v>92</v>
      </c>
      <c r="U24" s="159" t="s">
        <v>93</v>
      </c>
      <c r="V24" s="90">
        <f t="shared" si="5"/>
        <v>4.5</v>
      </c>
      <c r="W24" s="134">
        <f t="shared" si="9"/>
        <v>5</v>
      </c>
      <c r="X24" s="92" t="str">
        <f t="shared" si="6"/>
        <v/>
      </c>
      <c r="Y24" s="92" t="str">
        <f t="shared" si="7"/>
        <v/>
      </c>
      <c r="Z24" s="143" t="str">
        <f t="shared" si="8"/>
        <v/>
      </c>
      <c r="AK24" s="46">
        <v>20</v>
      </c>
      <c r="AL24" s="32"/>
      <c r="AM24" s="28"/>
      <c r="AN24" s="28"/>
      <c r="AO24" s="28"/>
      <c r="AP24" s="28"/>
      <c r="AQ24" s="28"/>
      <c r="AR24" s="28"/>
      <c r="AS24" s="28"/>
      <c r="AT24" s="32"/>
      <c r="AU24" s="28"/>
      <c r="AV24" s="28"/>
      <c r="AW24" s="28"/>
      <c r="AX24" s="31"/>
      <c r="AY24" s="31"/>
      <c r="AZ24" s="31"/>
      <c r="BA24" s="47"/>
      <c r="BB24" s="32"/>
      <c r="BC24" s="28"/>
      <c r="BD24" s="28"/>
      <c r="BE24" s="28"/>
      <c r="BF24" s="28"/>
      <c r="BG24" s="28"/>
      <c r="BH24" s="28"/>
      <c r="BI24" s="28"/>
      <c r="BJ24" s="32"/>
      <c r="BK24" s="28"/>
      <c r="BL24" s="28"/>
      <c r="BM24" s="28"/>
      <c r="BN24" s="31"/>
      <c r="BO24" s="31"/>
      <c r="BP24" s="31"/>
      <c r="BQ24" s="47"/>
    </row>
    <row r="25" spans="1:74" ht="15" customHeight="1" thickBot="1" x14ac:dyDescent="0.2">
      <c r="A25" s="130" t="s">
        <v>133</v>
      </c>
      <c r="B25" s="41">
        <v>22</v>
      </c>
      <c r="C25" s="188" t="s">
        <v>131</v>
      </c>
      <c r="D25" s="186">
        <v>573</v>
      </c>
      <c r="E25" s="186">
        <v>60</v>
      </c>
      <c r="F25" s="186">
        <v>104</v>
      </c>
      <c r="G25" s="141">
        <f t="shared" si="0"/>
        <v>59.5</v>
      </c>
      <c r="H25" s="141">
        <f t="shared" si="1"/>
        <v>20</v>
      </c>
      <c r="I25" s="141">
        <f t="shared" si="2"/>
        <v>56.7</v>
      </c>
      <c r="J25" s="158">
        <v>20</v>
      </c>
      <c r="K25" s="189" t="s">
        <v>132</v>
      </c>
      <c r="L25" s="186">
        <v>576</v>
      </c>
      <c r="M25" s="186">
        <v>62</v>
      </c>
      <c r="N25" s="186">
        <v>105</v>
      </c>
      <c r="O25" s="141">
        <f>IF(((L25-M25)/2-(D25-E25)/2)&lt;=LOOKUP(E25,{0,9.99,11.99,17.99,23.99,29.99,35.99,47.99,59.99},{0,0.4,0.5,0.75,1,1.25,1.5,2,2.5}),M25,((L25+M25)/2-(D25-E25)/2))</f>
        <v>62</v>
      </c>
      <c r="P25" s="141">
        <f t="shared" si="3"/>
        <v>20</v>
      </c>
      <c r="Q25" s="141">
        <f t="shared" si="4"/>
        <v>58.7</v>
      </c>
      <c r="R25" s="153">
        <v>20</v>
      </c>
      <c r="S25" s="158">
        <v>0</v>
      </c>
      <c r="T25" s="159" t="s">
        <v>93</v>
      </c>
      <c r="U25" s="159" t="s">
        <v>93</v>
      </c>
      <c r="V25" s="90">
        <f t="shared" si="5"/>
        <v>4.5</v>
      </c>
      <c r="W25" s="134">
        <f t="shared" si="9"/>
        <v>5</v>
      </c>
      <c r="X25" s="92" t="str">
        <f t="shared" si="6"/>
        <v/>
      </c>
      <c r="Y25" s="92" t="str">
        <f t="shared" si="7"/>
        <v/>
      </c>
      <c r="Z25" s="143" t="str">
        <f t="shared" si="8"/>
        <v/>
      </c>
      <c r="AK25" s="46"/>
      <c r="AL25" s="32"/>
      <c r="AM25" s="32">
        <v>54.7</v>
      </c>
      <c r="AN25" s="32">
        <v>56.7</v>
      </c>
      <c r="AO25" s="32">
        <v>58.7</v>
      </c>
      <c r="AP25" s="32">
        <v>60.7</v>
      </c>
      <c r="AQ25" s="32">
        <v>62.7</v>
      </c>
      <c r="AR25" s="32">
        <v>64.7</v>
      </c>
      <c r="AS25" s="32">
        <v>66.7</v>
      </c>
      <c r="AT25" s="32"/>
      <c r="AU25" s="32">
        <v>54.7</v>
      </c>
      <c r="AV25" s="32">
        <v>56.7</v>
      </c>
      <c r="AW25" s="32">
        <v>58.7</v>
      </c>
      <c r="AX25" s="125">
        <v>60.7</v>
      </c>
      <c r="AY25" s="125">
        <v>62.7</v>
      </c>
      <c r="AZ25" s="125">
        <v>64.7</v>
      </c>
      <c r="BA25" s="52">
        <v>66.7</v>
      </c>
      <c r="BB25" s="32"/>
      <c r="BC25" s="32">
        <v>54.7</v>
      </c>
      <c r="BD25" s="32">
        <v>56.7</v>
      </c>
      <c r="BE25" s="32">
        <v>58.7</v>
      </c>
      <c r="BF25" s="32">
        <v>60.7</v>
      </c>
      <c r="BG25" s="32">
        <v>62.7</v>
      </c>
      <c r="BH25" s="32">
        <v>64.7</v>
      </c>
      <c r="BI25" s="32">
        <v>66.7</v>
      </c>
      <c r="BJ25" s="32"/>
      <c r="BK25" s="32">
        <v>54.7</v>
      </c>
      <c r="BL25" s="32">
        <v>56.7</v>
      </c>
      <c r="BM25" s="32">
        <v>58.7</v>
      </c>
      <c r="BN25" s="125">
        <v>60.7</v>
      </c>
      <c r="BO25" s="125">
        <v>62.7</v>
      </c>
      <c r="BP25" s="125">
        <v>64.7</v>
      </c>
      <c r="BQ25" s="52">
        <v>66.7</v>
      </c>
    </row>
    <row r="26" spans="1:74" x14ac:dyDescent="0.15">
      <c r="A26" s="130" t="s">
        <v>134</v>
      </c>
      <c r="B26" s="41">
        <v>23</v>
      </c>
      <c r="C26" s="188" t="s">
        <v>131</v>
      </c>
      <c r="D26" s="186">
        <v>583</v>
      </c>
      <c r="E26" s="186">
        <v>68</v>
      </c>
      <c r="F26" s="186">
        <v>106</v>
      </c>
      <c r="G26" s="141">
        <f t="shared" si="0"/>
        <v>65.5</v>
      </c>
      <c r="H26" s="141">
        <f t="shared" si="1"/>
        <v>20</v>
      </c>
      <c r="I26" s="141">
        <f t="shared" si="2"/>
        <v>56.7</v>
      </c>
      <c r="J26" s="158">
        <v>20</v>
      </c>
      <c r="K26" s="189" t="s">
        <v>132</v>
      </c>
      <c r="L26" s="186">
        <v>587</v>
      </c>
      <c r="M26" s="186">
        <v>71</v>
      </c>
      <c r="N26" s="186">
        <v>107</v>
      </c>
      <c r="O26" s="141">
        <f>IF(((L26-M26)/2-(D26-E26)/2)&lt;=LOOKUP(E26,{0,9.99,11.99,17.99,23.99,29.99,35.99,47.99,59.99},{0,0.4,0.5,0.75,1,1.25,1.5,2,2.5}),M26,((L26+M26)/2-(D26-E26)/2))</f>
        <v>71</v>
      </c>
      <c r="P26" s="141">
        <f t="shared" si="3"/>
        <v>20</v>
      </c>
      <c r="Q26" s="141">
        <f t="shared" si="4"/>
        <v>58.7</v>
      </c>
      <c r="R26" s="153">
        <v>20</v>
      </c>
      <c r="S26" s="158">
        <v>0</v>
      </c>
      <c r="T26" s="159" t="s">
        <v>93</v>
      </c>
      <c r="U26" s="159" t="s">
        <v>93</v>
      </c>
      <c r="V26" s="90">
        <f t="shared" si="5"/>
        <v>4.5</v>
      </c>
      <c r="W26" s="134">
        <f t="shared" si="9"/>
        <v>5</v>
      </c>
      <c r="X26" s="92" t="str">
        <f t="shared" si="6"/>
        <v/>
      </c>
      <c r="Y26" s="92" t="str">
        <f t="shared" si="7"/>
        <v/>
      </c>
      <c r="Z26" s="143" t="str">
        <f t="shared" si="8"/>
        <v/>
      </c>
      <c r="AB26" s="121" t="s">
        <v>135</v>
      </c>
      <c r="AC26" s="122"/>
      <c r="AD26" s="122"/>
      <c r="AE26" s="122"/>
      <c r="AF26" s="124"/>
      <c r="AG26" s="124"/>
      <c r="AH26" s="124"/>
      <c r="AI26" s="123"/>
      <c r="AK26" s="46">
        <v>22</v>
      </c>
      <c r="AL26" s="32">
        <v>12.5</v>
      </c>
      <c r="AM26" s="28"/>
      <c r="AN26" s="28"/>
      <c r="AO26" s="28"/>
      <c r="AP26" s="28"/>
      <c r="AQ26" s="28"/>
      <c r="AR26" s="28"/>
      <c r="AS26" s="28"/>
      <c r="AT26" s="32">
        <v>12.5</v>
      </c>
      <c r="AU26" s="28"/>
      <c r="AV26" s="28"/>
      <c r="AW26" s="28"/>
      <c r="AX26" s="31"/>
      <c r="AY26" s="31"/>
      <c r="AZ26" s="31"/>
      <c r="BA26" s="47"/>
      <c r="BB26" s="32">
        <v>12.5</v>
      </c>
      <c r="BC26" s="28"/>
      <c r="BD26" s="28"/>
      <c r="BE26" s="28"/>
      <c r="BF26" s="28"/>
      <c r="BG26" s="28"/>
      <c r="BH26" s="28"/>
      <c r="BI26" s="28"/>
      <c r="BJ26" s="32">
        <v>12.5</v>
      </c>
      <c r="BK26" s="28"/>
      <c r="BL26" s="28"/>
      <c r="BM26" s="28"/>
      <c r="BN26" s="31"/>
      <c r="BO26" s="31"/>
      <c r="BP26" s="31"/>
      <c r="BQ26" s="47"/>
    </row>
    <row r="27" spans="1:74" x14ac:dyDescent="0.15">
      <c r="A27" s="130" t="s">
        <v>136</v>
      </c>
      <c r="B27" s="41">
        <v>24</v>
      </c>
      <c r="C27" s="188" t="s">
        <v>137</v>
      </c>
      <c r="D27" s="186">
        <v>595</v>
      </c>
      <c r="E27" s="186">
        <v>78</v>
      </c>
      <c r="F27" s="186">
        <v>86</v>
      </c>
      <c r="G27" s="141">
        <f t="shared" si="0"/>
        <v>75.5</v>
      </c>
      <c r="H27" s="141">
        <f t="shared" si="1"/>
        <v>25</v>
      </c>
      <c r="I27" s="141">
        <f t="shared" si="2"/>
        <v>56.7</v>
      </c>
      <c r="J27" s="158">
        <v>20</v>
      </c>
      <c r="K27" s="189" t="s">
        <v>138</v>
      </c>
      <c r="L27" s="186">
        <v>599</v>
      </c>
      <c r="M27" s="186">
        <v>81</v>
      </c>
      <c r="N27" s="186">
        <v>87</v>
      </c>
      <c r="O27" s="141">
        <f>IF(((L27-M27)/2-(D27-E27)/2)&lt;=LOOKUP(E27,{0,9.99,11.99,17.99,23.99,29.99,35.99,47.99,59.99},{0,0.4,0.5,0.75,1,1.25,1.5,2,2.5}),M27,((L27+M27)/2-(D27-E27)/2))</f>
        <v>81</v>
      </c>
      <c r="P27" s="141">
        <f t="shared" si="3"/>
        <v>25</v>
      </c>
      <c r="Q27" s="141">
        <f t="shared" si="4"/>
        <v>58.7</v>
      </c>
      <c r="R27" s="153">
        <v>20</v>
      </c>
      <c r="S27" s="158">
        <v>0</v>
      </c>
      <c r="T27" s="159" t="s">
        <v>93</v>
      </c>
      <c r="U27" s="159" t="s">
        <v>93</v>
      </c>
      <c r="V27" s="90">
        <f t="shared" si="5"/>
        <v>4.5</v>
      </c>
      <c r="W27" s="134">
        <f t="shared" si="9"/>
        <v>5</v>
      </c>
      <c r="X27" s="92" t="str">
        <f t="shared" si="6"/>
        <v/>
      </c>
      <c r="Y27" s="92" t="str">
        <f t="shared" si="7"/>
        <v/>
      </c>
      <c r="Z27" s="143" t="str">
        <f t="shared" si="8"/>
        <v/>
      </c>
      <c r="AB27" s="51"/>
      <c r="AC27" s="32">
        <v>54.7</v>
      </c>
      <c r="AD27" s="32">
        <v>56.7</v>
      </c>
      <c r="AE27" s="32">
        <v>58.7</v>
      </c>
      <c r="AF27" s="125">
        <v>60.7</v>
      </c>
      <c r="AG27" s="125">
        <v>62.7</v>
      </c>
      <c r="AH27" s="125">
        <v>64.7</v>
      </c>
      <c r="AI27" s="52">
        <v>66.7</v>
      </c>
      <c r="AK27" s="46">
        <v>22</v>
      </c>
      <c r="AL27" s="32">
        <v>16</v>
      </c>
      <c r="AM27" s="28"/>
      <c r="AN27" s="28"/>
      <c r="AO27" s="28"/>
      <c r="AP27" s="28"/>
      <c r="AQ27" s="28"/>
      <c r="AR27" s="28"/>
      <c r="AS27" s="28"/>
      <c r="AT27" s="32">
        <v>16</v>
      </c>
      <c r="AU27" s="28"/>
      <c r="AV27" s="28"/>
      <c r="AW27" s="28"/>
      <c r="AX27" s="31"/>
      <c r="AY27" s="31"/>
      <c r="AZ27" s="31"/>
      <c r="BA27" s="47"/>
      <c r="BB27" s="32">
        <v>16</v>
      </c>
      <c r="BC27" s="28"/>
      <c r="BD27" s="28"/>
      <c r="BE27" s="28"/>
      <c r="BF27" s="28"/>
      <c r="BG27" s="28"/>
      <c r="BH27" s="28"/>
      <c r="BI27" s="28"/>
      <c r="BJ27" s="32">
        <v>16</v>
      </c>
      <c r="BK27" s="28"/>
      <c r="BL27" s="28"/>
      <c r="BM27" s="28"/>
      <c r="BN27" s="31"/>
      <c r="BO27" s="31"/>
      <c r="BP27" s="31"/>
      <c r="BQ27" s="47"/>
      <c r="BV27" s="75"/>
    </row>
    <row r="28" spans="1:74" ht="15" customHeight="1" thickBot="1" x14ac:dyDescent="0.2">
      <c r="A28" s="130" t="s">
        <v>139</v>
      </c>
      <c r="B28" s="41">
        <v>25</v>
      </c>
      <c r="C28" s="190" t="s">
        <v>137</v>
      </c>
      <c r="D28" s="187">
        <v>611</v>
      </c>
      <c r="E28" s="187">
        <v>92</v>
      </c>
      <c r="F28" s="187">
        <v>88</v>
      </c>
      <c r="G28" s="141">
        <f t="shared" si="0"/>
        <v>85.5</v>
      </c>
      <c r="H28" s="141">
        <f t="shared" si="1"/>
        <v>25</v>
      </c>
      <c r="I28" s="141">
        <f t="shared" si="2"/>
        <v>56.7</v>
      </c>
      <c r="J28" s="158">
        <v>20</v>
      </c>
      <c r="K28" s="190" t="s">
        <v>138</v>
      </c>
      <c r="L28" s="187">
        <v>616</v>
      </c>
      <c r="M28" s="187">
        <v>96</v>
      </c>
      <c r="N28" s="187">
        <v>90</v>
      </c>
      <c r="O28" s="141">
        <f>IF(((L28-M28)/2-(D28-E28)/2)&lt;=LOOKUP(E28,{0,9.99,11.99,17.99,23.99,29.99,35.99,47.99,59.99},{0,0.4,0.5,0.75,1,1.25,1.5,2,2.5}),M28,((L28+M28)/2-(D28-E28)/2))</f>
        <v>96</v>
      </c>
      <c r="P28" s="141">
        <f t="shared" si="3"/>
        <v>25</v>
      </c>
      <c r="Q28" s="141">
        <f t="shared" si="4"/>
        <v>58.7</v>
      </c>
      <c r="R28" s="153">
        <v>20</v>
      </c>
      <c r="S28" s="158">
        <v>0</v>
      </c>
      <c r="T28" s="159" t="s">
        <v>93</v>
      </c>
      <c r="U28" s="159" t="s">
        <v>92</v>
      </c>
      <c r="V28" s="90">
        <f t="shared" si="5"/>
        <v>4.5</v>
      </c>
      <c r="W28" s="134">
        <f t="shared" si="9"/>
        <v>5</v>
      </c>
      <c r="X28" s="92">
        <f t="shared" si="6"/>
        <v>1</v>
      </c>
      <c r="Y28" s="92" t="str">
        <f t="shared" si="7"/>
        <v/>
      </c>
      <c r="Z28" s="143" t="str">
        <f t="shared" si="8"/>
        <v/>
      </c>
      <c r="AB28" s="46">
        <v>12.5</v>
      </c>
      <c r="AC28" s="30">
        <v>1.1000000000000001</v>
      </c>
      <c r="AD28" s="30">
        <v>0.8</v>
      </c>
      <c r="AE28" s="30">
        <v>0.6</v>
      </c>
      <c r="AF28" s="126">
        <v>0.4</v>
      </c>
      <c r="AG28" s="126"/>
      <c r="AH28" s="126"/>
      <c r="AI28" s="53"/>
      <c r="AK28" s="46">
        <v>22</v>
      </c>
      <c r="AL28" s="32">
        <v>20</v>
      </c>
      <c r="AM28" s="28"/>
      <c r="AN28" s="28"/>
      <c r="AO28" s="28"/>
      <c r="AP28" s="28"/>
      <c r="AQ28" s="28"/>
      <c r="AR28" s="28"/>
      <c r="AS28" s="28"/>
      <c r="AT28" s="32">
        <v>20</v>
      </c>
      <c r="AU28" s="28"/>
      <c r="AV28" s="28"/>
      <c r="AW28" s="28"/>
      <c r="AX28" s="31"/>
      <c r="AY28" s="31"/>
      <c r="AZ28" s="31"/>
      <c r="BA28" s="47"/>
      <c r="BB28" s="32">
        <v>20</v>
      </c>
      <c r="BC28" s="28"/>
      <c r="BD28" s="28"/>
      <c r="BE28" s="28"/>
      <c r="BF28" s="28"/>
      <c r="BG28" s="28"/>
      <c r="BH28" s="28"/>
      <c r="BI28" s="28"/>
      <c r="BJ28" s="32">
        <v>20</v>
      </c>
      <c r="BK28" s="28"/>
      <c r="BL28" s="28"/>
      <c r="BM28" s="28"/>
      <c r="BN28" s="31"/>
      <c r="BO28" s="31"/>
      <c r="BP28" s="31"/>
      <c r="BQ28" s="47"/>
      <c r="BV28" s="1"/>
    </row>
    <row r="29" spans="1:74" ht="15" customHeight="1" thickTop="1" x14ac:dyDescent="0.15">
      <c r="A29" s="130" t="s">
        <v>140</v>
      </c>
      <c r="B29" s="41">
        <v>26</v>
      </c>
      <c r="C29" s="189" t="s">
        <v>141</v>
      </c>
      <c r="D29" s="186">
        <v>628</v>
      </c>
      <c r="E29" s="186">
        <v>108</v>
      </c>
      <c r="F29" s="186">
        <v>72</v>
      </c>
      <c r="G29" s="141">
        <f t="shared" si="0"/>
        <v>108</v>
      </c>
      <c r="H29" s="141">
        <f t="shared" si="1"/>
        <v>32</v>
      </c>
      <c r="I29" s="141">
        <f t="shared" si="2"/>
        <v>58.7</v>
      </c>
      <c r="J29" s="158">
        <v>20</v>
      </c>
      <c r="K29" s="189" t="s">
        <v>142</v>
      </c>
      <c r="L29" s="186">
        <v>638</v>
      </c>
      <c r="M29" s="186">
        <v>108</v>
      </c>
      <c r="N29" s="186">
        <v>72</v>
      </c>
      <c r="O29" s="141">
        <f>IF(((L29-M29)/2-(D29-E29)/2)&lt;=LOOKUP(E29,{0,9.99,11.99,17.99,23.99,29.99,35.99,47.99,59.99},{0,0.4,0.5,0.75,1,1.25,1.5,2,2.5}),M29,((L29+M29)/2-(D29-E29)/2))</f>
        <v>113</v>
      </c>
      <c r="P29" s="141">
        <f t="shared" si="3"/>
        <v>32</v>
      </c>
      <c r="Q29" s="141">
        <f t="shared" si="4"/>
        <v>62.7</v>
      </c>
      <c r="R29" s="153">
        <v>20</v>
      </c>
      <c r="S29" s="158">
        <v>0</v>
      </c>
      <c r="T29" s="159" t="s">
        <v>92</v>
      </c>
      <c r="U29" s="159" t="s">
        <v>93</v>
      </c>
      <c r="V29" s="90">
        <f t="shared" si="5"/>
        <v>5.5</v>
      </c>
      <c r="W29" s="134">
        <f t="shared" si="9"/>
        <v>5.5</v>
      </c>
      <c r="X29" s="92" t="str">
        <f t="shared" si="6"/>
        <v/>
      </c>
      <c r="Y29" s="92" t="str">
        <f t="shared" si="7"/>
        <v/>
      </c>
      <c r="Z29" s="143" t="str">
        <f t="shared" si="8"/>
        <v/>
      </c>
      <c r="AB29" s="46">
        <v>16</v>
      </c>
      <c r="AC29" s="30">
        <v>1.4</v>
      </c>
      <c r="AD29" s="30">
        <v>1</v>
      </c>
      <c r="AE29" s="30">
        <v>0.7</v>
      </c>
      <c r="AF29" s="126">
        <v>0.5</v>
      </c>
      <c r="AG29" s="126"/>
      <c r="AH29" s="126"/>
      <c r="AI29" s="53"/>
      <c r="AK29" s="46">
        <v>22</v>
      </c>
      <c r="AL29" s="32">
        <v>25</v>
      </c>
      <c r="AM29" s="28"/>
      <c r="AN29" s="28"/>
      <c r="AO29" s="28"/>
      <c r="AP29" s="28"/>
      <c r="AQ29" s="28"/>
      <c r="AR29" s="28"/>
      <c r="AS29" s="28"/>
      <c r="AT29" s="32">
        <v>25</v>
      </c>
      <c r="AU29" s="28"/>
      <c r="AV29" s="28"/>
      <c r="AW29" s="28"/>
      <c r="AX29" s="31"/>
      <c r="AY29" s="31"/>
      <c r="AZ29" s="31"/>
      <c r="BA29" s="47"/>
      <c r="BB29" s="32">
        <v>25</v>
      </c>
      <c r="BC29" s="28"/>
      <c r="BD29" s="28"/>
      <c r="BE29" s="28"/>
      <c r="BF29" s="28"/>
      <c r="BG29" s="28"/>
      <c r="BH29" s="28"/>
      <c r="BI29" s="28"/>
      <c r="BJ29" s="32">
        <v>25</v>
      </c>
      <c r="BK29" s="28"/>
      <c r="BL29" s="28"/>
      <c r="BM29" s="28"/>
      <c r="BN29" s="31"/>
      <c r="BO29" s="31"/>
      <c r="BP29" s="31"/>
      <c r="BQ29" s="47"/>
    </row>
    <row r="30" spans="1:74" x14ac:dyDescent="0.15">
      <c r="A30" s="130" t="s">
        <v>143</v>
      </c>
      <c r="B30" s="41">
        <v>27</v>
      </c>
      <c r="C30" s="188" t="s">
        <v>144</v>
      </c>
      <c r="D30" s="186">
        <v>655</v>
      </c>
      <c r="E30" s="186">
        <v>125</v>
      </c>
      <c r="F30" s="186">
        <v>74</v>
      </c>
      <c r="G30" s="141">
        <f t="shared" si="0"/>
        <v>114.5</v>
      </c>
      <c r="H30" s="141">
        <f t="shared" si="1"/>
        <v>32</v>
      </c>
      <c r="I30" s="141">
        <f t="shared" si="2"/>
        <v>60.7</v>
      </c>
      <c r="J30" s="158">
        <v>20</v>
      </c>
      <c r="K30" s="189" t="s">
        <v>145</v>
      </c>
      <c r="L30" s="186">
        <v>665</v>
      </c>
      <c r="M30" s="186">
        <v>125</v>
      </c>
      <c r="N30" s="186">
        <v>76</v>
      </c>
      <c r="O30" s="141">
        <f>IF(((L30-M30)/2-(D30-E30)/2)&lt;=LOOKUP(E30,{0,9.99,11.99,17.99,23.99,29.99,35.99,47.99,59.99},{0,0.4,0.5,0.75,1,1.25,1.5,2,2.5}),M30,((L30+M30)/2-(D30-E30)/2))</f>
        <v>130</v>
      </c>
      <c r="P30" s="141">
        <f t="shared" si="3"/>
        <v>32</v>
      </c>
      <c r="Q30" s="141">
        <f t="shared" si="4"/>
        <v>64.7</v>
      </c>
      <c r="R30" s="153">
        <v>20</v>
      </c>
      <c r="S30" s="158">
        <v>0</v>
      </c>
      <c r="T30" s="159" t="s">
        <v>93</v>
      </c>
      <c r="U30" s="159" t="s">
        <v>93</v>
      </c>
      <c r="V30" s="90">
        <f t="shared" si="5"/>
        <v>5.5</v>
      </c>
      <c r="W30" s="134">
        <f t="shared" si="9"/>
        <v>5.5</v>
      </c>
      <c r="X30" s="92" t="str">
        <f t="shared" si="6"/>
        <v/>
      </c>
      <c r="Y30" s="92" t="str">
        <f t="shared" si="7"/>
        <v/>
      </c>
      <c r="Z30" s="143" t="str">
        <f t="shared" si="8"/>
        <v/>
      </c>
      <c r="AB30" s="46">
        <v>20</v>
      </c>
      <c r="AC30" s="30">
        <v>1.7</v>
      </c>
      <c r="AD30" s="30">
        <v>1.3</v>
      </c>
      <c r="AE30" s="30">
        <v>0.9</v>
      </c>
      <c r="AF30" s="126">
        <v>0.6</v>
      </c>
      <c r="AG30" s="126"/>
      <c r="AH30" s="126"/>
      <c r="AI30" s="53"/>
      <c r="AK30" s="46">
        <v>22</v>
      </c>
      <c r="AL30" s="32">
        <v>32</v>
      </c>
      <c r="AM30" s="28"/>
      <c r="AN30" s="28"/>
      <c r="AO30" s="28"/>
      <c r="AP30" s="28"/>
      <c r="AQ30" s="28"/>
      <c r="AR30" s="28"/>
      <c r="AS30" s="28"/>
      <c r="AT30" s="32">
        <v>32</v>
      </c>
      <c r="AU30" s="28"/>
      <c r="AV30" s="28"/>
      <c r="AW30" s="28"/>
      <c r="AX30" s="31"/>
      <c r="AY30" s="31"/>
      <c r="AZ30" s="31"/>
      <c r="BA30" s="47"/>
      <c r="BB30" s="32">
        <v>32</v>
      </c>
      <c r="BC30" s="28"/>
      <c r="BD30" s="28"/>
      <c r="BE30" s="28"/>
      <c r="BF30" s="28"/>
      <c r="BG30" s="28"/>
      <c r="BH30" s="28"/>
      <c r="BI30" s="28"/>
      <c r="BJ30" s="32">
        <v>32</v>
      </c>
      <c r="BK30" s="28"/>
      <c r="BL30" s="28"/>
      <c r="BM30" s="28"/>
      <c r="BN30" s="31"/>
      <c r="BO30" s="31"/>
      <c r="BP30" s="31"/>
      <c r="BQ30" s="47"/>
    </row>
    <row r="31" spans="1:74" x14ac:dyDescent="0.15">
      <c r="A31" s="130" t="s">
        <v>146</v>
      </c>
      <c r="B31" s="41">
        <v>28</v>
      </c>
      <c r="C31" s="184"/>
      <c r="D31" s="186"/>
      <c r="E31" s="186"/>
      <c r="F31" s="186"/>
      <c r="G31" s="141"/>
      <c r="H31" s="141"/>
      <c r="I31" s="141"/>
      <c r="J31" s="158">
        <v>20</v>
      </c>
      <c r="K31" s="172"/>
      <c r="L31" s="153"/>
      <c r="M31" s="152"/>
      <c r="N31" s="153"/>
      <c r="O31" s="141">
        <f>IF(((L31-M31)/2-(D31-E31)/2)&lt;=LOOKUP(E31,{0,9.99,11.99,17.99,23.99,29.99,35.99,47.99,59.99},{0,0.4,0.5,0.75,1,1.25,1.5,2,2.5}),M31,((L31+M31)/2-(D31-E31)/2))</f>
        <v>0</v>
      </c>
      <c r="P31" s="141"/>
      <c r="Q31" s="141"/>
      <c r="R31" s="153">
        <v>20</v>
      </c>
      <c r="S31" s="158">
        <v>0</v>
      </c>
      <c r="T31" s="159" t="s">
        <v>93</v>
      </c>
      <c r="U31" s="159" t="s">
        <v>93</v>
      </c>
      <c r="V31" s="90"/>
      <c r="W31" s="134"/>
      <c r="X31" s="92" t="str">
        <f t="shared" si="6"/>
        <v/>
      </c>
      <c r="Y31" s="92"/>
      <c r="Z31" s="143"/>
      <c r="AB31" s="46">
        <v>25</v>
      </c>
      <c r="AC31" s="30">
        <v>2.1</v>
      </c>
      <c r="AD31" s="30">
        <v>1.6</v>
      </c>
      <c r="AE31" s="30">
        <v>1.2</v>
      </c>
      <c r="AF31" s="126">
        <v>0.7</v>
      </c>
      <c r="AG31" s="126"/>
      <c r="AH31" s="126"/>
      <c r="AI31" s="53"/>
      <c r="AK31" s="46">
        <v>22</v>
      </c>
      <c r="AL31" s="32">
        <v>40</v>
      </c>
      <c r="AM31" s="28"/>
      <c r="AN31" s="28"/>
      <c r="AO31" s="28"/>
      <c r="AP31" s="28"/>
      <c r="AQ31" s="28"/>
      <c r="AR31" s="28"/>
      <c r="AS31" s="28"/>
      <c r="AT31" s="32">
        <v>40</v>
      </c>
      <c r="AU31" s="28"/>
      <c r="AV31" s="28"/>
      <c r="AW31" s="28"/>
      <c r="AX31" s="31"/>
      <c r="AY31" s="31"/>
      <c r="AZ31" s="31"/>
      <c r="BA31" s="47"/>
      <c r="BB31" s="32">
        <v>40</v>
      </c>
      <c r="BC31" s="28"/>
      <c r="BD31" s="28"/>
      <c r="BE31" s="28"/>
      <c r="BF31" s="28"/>
      <c r="BG31" s="28"/>
      <c r="BH31" s="28"/>
      <c r="BI31" s="28"/>
      <c r="BJ31" s="32">
        <v>40</v>
      </c>
      <c r="BK31" s="28"/>
      <c r="BL31" s="28"/>
      <c r="BM31" s="28"/>
      <c r="BN31" s="31"/>
      <c r="BO31" s="31"/>
      <c r="BP31" s="31"/>
      <c r="BQ31" s="47"/>
    </row>
    <row r="32" spans="1:74" x14ac:dyDescent="0.15">
      <c r="A32" s="130" t="s">
        <v>147</v>
      </c>
      <c r="B32" s="41">
        <v>29</v>
      </c>
      <c r="C32" s="170"/>
      <c r="D32" s="153"/>
      <c r="E32" s="153"/>
      <c r="F32" s="153"/>
      <c r="G32" s="141"/>
      <c r="H32" s="141"/>
      <c r="I32" s="141"/>
      <c r="J32" s="158">
        <v>20</v>
      </c>
      <c r="K32" s="172"/>
      <c r="L32" s="153"/>
      <c r="M32" s="152"/>
      <c r="N32" s="153"/>
      <c r="O32" s="141">
        <f>IF(((L32-M32)/2-(D32-E32)/2)&lt;=LOOKUP(E32,{0,9.99,11.99,17.99,23.99,29.99,35.99,47.99,59.99},{0,0.4,0.5,0.75,1,1.25,1.5,2,2.5}),M32,((L32+M32)/2-(D32-E32)/2))</f>
        <v>0</v>
      </c>
      <c r="P32" s="141"/>
      <c r="Q32" s="141"/>
      <c r="R32" s="153">
        <v>20</v>
      </c>
      <c r="S32" s="158">
        <v>0</v>
      </c>
      <c r="T32" s="159"/>
      <c r="U32" s="159"/>
      <c r="V32" s="90"/>
      <c r="W32" s="134"/>
      <c r="X32" s="92" t="str">
        <f t="shared" si="6"/>
        <v/>
      </c>
      <c r="Y32" s="92"/>
      <c r="Z32" s="143"/>
      <c r="AB32" s="46">
        <v>32</v>
      </c>
      <c r="AC32" s="119"/>
      <c r="AD32" s="119"/>
      <c r="AE32" s="119">
        <v>0.9</v>
      </c>
      <c r="AF32" s="129">
        <v>0.9</v>
      </c>
      <c r="AG32" s="129">
        <v>0.35</v>
      </c>
      <c r="AH32" s="129">
        <v>0.36</v>
      </c>
      <c r="AI32" s="120"/>
      <c r="AK32" s="46">
        <v>22</v>
      </c>
      <c r="AL32" s="32">
        <v>50</v>
      </c>
      <c r="AM32" s="28"/>
      <c r="AN32" s="28"/>
      <c r="AO32" s="28"/>
      <c r="AP32" s="28"/>
      <c r="AQ32" s="28"/>
      <c r="AR32" s="28"/>
      <c r="AS32" s="28"/>
      <c r="AT32" s="32">
        <v>50</v>
      </c>
      <c r="AU32" s="28"/>
      <c r="AV32" s="28"/>
      <c r="AW32" s="28"/>
      <c r="AX32" s="31"/>
      <c r="AY32" s="31"/>
      <c r="AZ32" s="31"/>
      <c r="BA32" s="47"/>
      <c r="BB32" s="32">
        <v>50</v>
      </c>
      <c r="BC32" s="28"/>
      <c r="BD32" s="28"/>
      <c r="BE32" s="28"/>
      <c r="BF32" s="28"/>
      <c r="BG32" s="28"/>
      <c r="BH32" s="28"/>
      <c r="BI32" s="28"/>
      <c r="BJ32" s="32">
        <v>50</v>
      </c>
      <c r="BK32" s="28"/>
      <c r="BL32" s="28"/>
      <c r="BM32" s="28"/>
      <c r="BN32" s="31"/>
      <c r="BO32" s="31"/>
      <c r="BP32" s="31"/>
      <c r="BQ32" s="47"/>
    </row>
    <row r="33" spans="1:74" ht="14.25" customHeight="1" x14ac:dyDescent="0.15">
      <c r="A33" s="130" t="s">
        <v>148</v>
      </c>
      <c r="B33" s="41">
        <v>30</v>
      </c>
      <c r="C33" s="170"/>
      <c r="D33" s="153"/>
      <c r="E33" s="153"/>
      <c r="F33" s="153"/>
      <c r="G33" s="141"/>
      <c r="H33" s="141"/>
      <c r="I33" s="141"/>
      <c r="J33" s="158">
        <v>20</v>
      </c>
      <c r="K33" s="172"/>
      <c r="L33" s="153"/>
      <c r="M33" s="152"/>
      <c r="N33" s="153"/>
      <c r="O33" s="141">
        <f>IF(((L33-M33)/2-(D33-E33)/2)&lt;=LOOKUP(E33,{0,9.99,11.99,17.99,23.99,29.99,35.99,47.99,59.99},{0,0.4,0.5,0.75,1,1.25,1.5,2,2.5}),M33,((L33+M33)/2-(D33-E33)/2))</f>
        <v>0</v>
      </c>
      <c r="P33" s="141"/>
      <c r="Q33" s="141"/>
      <c r="R33" s="153">
        <v>20</v>
      </c>
      <c r="S33" s="158">
        <v>0</v>
      </c>
      <c r="T33" s="159"/>
      <c r="U33" s="159"/>
      <c r="V33" s="90"/>
      <c r="W33" s="134"/>
      <c r="X33" s="92" t="str">
        <f t="shared" si="6"/>
        <v/>
      </c>
      <c r="Y33" s="92"/>
      <c r="Z33" s="143"/>
      <c r="AB33" s="46">
        <v>40</v>
      </c>
      <c r="AC33" s="30"/>
      <c r="AD33" s="30"/>
      <c r="AE33" s="30"/>
      <c r="AF33" s="126"/>
      <c r="AG33" s="126"/>
      <c r="AH33" s="126"/>
      <c r="AI33" s="53"/>
      <c r="AK33" s="46">
        <v>22</v>
      </c>
      <c r="AL33" s="32"/>
      <c r="AM33" s="28"/>
      <c r="AN33" s="28"/>
      <c r="AO33" s="28"/>
      <c r="AP33" s="28"/>
      <c r="AQ33" s="28"/>
      <c r="AR33" s="28"/>
      <c r="AS33" s="28"/>
      <c r="AT33" s="32"/>
      <c r="AU33" s="28"/>
      <c r="AV33" s="28"/>
      <c r="AW33" s="28"/>
      <c r="AX33" s="31"/>
      <c r="AY33" s="31"/>
      <c r="AZ33" s="31"/>
      <c r="BA33" s="47"/>
      <c r="BB33" s="32"/>
      <c r="BC33" s="28"/>
      <c r="BD33" s="28"/>
      <c r="BE33" s="28"/>
      <c r="BF33" s="28"/>
      <c r="BG33" s="28"/>
      <c r="BH33" s="28"/>
      <c r="BI33" s="28"/>
      <c r="BJ33" s="32"/>
      <c r="BK33" s="28"/>
      <c r="BL33" s="28"/>
      <c r="BM33" s="28"/>
      <c r="BN33" s="31"/>
      <c r="BO33" s="31"/>
      <c r="BP33" s="31"/>
      <c r="BQ33" s="47"/>
    </row>
    <row r="34" spans="1:74" x14ac:dyDescent="0.15">
      <c r="A34" s="130" t="s">
        <v>149</v>
      </c>
      <c r="B34" s="41">
        <v>31</v>
      </c>
      <c r="C34" s="170"/>
      <c r="D34" s="153"/>
      <c r="E34" s="153"/>
      <c r="F34" s="153"/>
      <c r="G34" s="141"/>
      <c r="H34" s="141"/>
      <c r="I34" s="141"/>
      <c r="J34" s="158">
        <v>20</v>
      </c>
      <c r="K34" s="172"/>
      <c r="L34" s="153"/>
      <c r="M34" s="152"/>
      <c r="N34" s="153"/>
      <c r="O34" s="141">
        <f>IF(((L34-M34)/2-(D34-E34)/2)&lt;=LOOKUP(E34,{0,9.99,11.99,17.99,23.99,29.99,35.99,47.99,59.99},{0,0.4,0.5,0.75,1,1.25,1.5,2,2.5}),M34,((L34+M34)/2-(D34-E34)/2))</f>
        <v>0</v>
      </c>
      <c r="P34" s="141"/>
      <c r="Q34" s="141"/>
      <c r="R34" s="153">
        <v>20</v>
      </c>
      <c r="S34" s="158">
        <v>0</v>
      </c>
      <c r="T34" s="159"/>
      <c r="U34" s="159"/>
      <c r="V34" s="90"/>
      <c r="W34" s="134"/>
      <c r="X34" s="92" t="str">
        <f t="shared" si="6"/>
        <v/>
      </c>
      <c r="Y34" s="92"/>
      <c r="Z34" s="143"/>
      <c r="AB34" s="48">
        <v>50</v>
      </c>
      <c r="AC34" s="54"/>
      <c r="AD34" s="54"/>
      <c r="AE34" s="54"/>
      <c r="AF34" s="128"/>
      <c r="AG34" s="128"/>
      <c r="AH34" s="128"/>
      <c r="AI34" s="55"/>
      <c r="AK34" s="46">
        <v>22</v>
      </c>
      <c r="AL34" s="32"/>
      <c r="AM34" s="28"/>
      <c r="AN34" s="28"/>
      <c r="AO34" s="28"/>
      <c r="AP34" s="28"/>
      <c r="AQ34" s="28"/>
      <c r="AR34" s="28"/>
      <c r="AS34" s="28"/>
      <c r="AT34" s="32"/>
      <c r="AU34" s="28"/>
      <c r="AV34" s="28"/>
      <c r="AW34" s="28"/>
      <c r="AX34" s="31"/>
      <c r="AY34" s="31"/>
      <c r="AZ34" s="31"/>
      <c r="BA34" s="47"/>
      <c r="BB34" s="32"/>
      <c r="BC34" s="28"/>
      <c r="BD34" s="28"/>
      <c r="BE34" s="28"/>
      <c r="BF34" s="28"/>
      <c r="BG34" s="28"/>
      <c r="BH34" s="28"/>
      <c r="BI34" s="28"/>
      <c r="BJ34" s="32"/>
      <c r="BK34" s="28"/>
      <c r="BL34" s="28"/>
      <c r="BM34" s="28"/>
      <c r="BN34" s="31"/>
      <c r="BO34" s="31"/>
      <c r="BP34" s="31"/>
      <c r="BQ34" s="47"/>
    </row>
    <row r="35" spans="1:74" x14ac:dyDescent="0.15">
      <c r="A35" s="130" t="s">
        <v>150</v>
      </c>
      <c r="B35" s="41">
        <v>32</v>
      </c>
      <c r="C35" s="170"/>
      <c r="D35" s="153"/>
      <c r="E35" s="153"/>
      <c r="F35" s="153"/>
      <c r="G35" s="141"/>
      <c r="H35" s="141"/>
      <c r="I35" s="141"/>
      <c r="J35" s="158">
        <v>20</v>
      </c>
      <c r="K35" s="172"/>
      <c r="L35" s="153"/>
      <c r="M35" s="152"/>
      <c r="N35" s="153"/>
      <c r="O35" s="141">
        <f>IF(((L35-M35)/2-(D35-E35)/2)&lt;=LOOKUP(E35,{0,9.99,11.99,17.99,23.99,29.99,35.99,47.99,59.99},{0,0.4,0.5,0.75,1,1.25,1.5,2,2.5}),M35,((L35+M35)/2-(D35-E35)/2))</f>
        <v>0</v>
      </c>
      <c r="P35" s="141"/>
      <c r="Q35" s="141"/>
      <c r="R35" s="153">
        <v>20</v>
      </c>
      <c r="S35" s="158">
        <v>0</v>
      </c>
      <c r="T35" s="159" t="s">
        <v>93</v>
      </c>
      <c r="U35" s="159" t="s">
        <v>93</v>
      </c>
      <c r="V35" s="90"/>
      <c r="W35" s="134"/>
      <c r="X35" s="92" t="str">
        <f t="shared" si="6"/>
        <v/>
      </c>
      <c r="Y35" s="92"/>
      <c r="Z35" s="143"/>
      <c r="AK35" s="46"/>
      <c r="AL35" s="32"/>
      <c r="AM35" s="32">
        <v>54.7</v>
      </c>
      <c r="AN35" s="32">
        <v>56.7</v>
      </c>
      <c r="AO35" s="32">
        <v>58.7</v>
      </c>
      <c r="AP35" s="32">
        <v>60.7</v>
      </c>
      <c r="AQ35" s="32">
        <v>62.7</v>
      </c>
      <c r="AR35" s="32">
        <v>64.7</v>
      </c>
      <c r="AS35" s="32">
        <v>66.7</v>
      </c>
      <c r="AT35" s="32"/>
      <c r="AU35" s="32">
        <v>54.7</v>
      </c>
      <c r="AV35" s="32">
        <v>56.7</v>
      </c>
      <c r="AW35" s="32">
        <v>58.7</v>
      </c>
      <c r="AX35" s="125">
        <v>60.7</v>
      </c>
      <c r="AY35" s="125">
        <v>62.7</v>
      </c>
      <c r="AZ35" s="125">
        <v>64.7</v>
      </c>
      <c r="BA35" s="52">
        <v>66.7</v>
      </c>
      <c r="BB35" s="32"/>
      <c r="BC35" s="32">
        <v>54.7</v>
      </c>
      <c r="BD35" s="32">
        <v>56.7</v>
      </c>
      <c r="BE35" s="32">
        <v>58.7</v>
      </c>
      <c r="BF35" s="32">
        <v>60.7</v>
      </c>
      <c r="BG35" s="32">
        <v>62.7</v>
      </c>
      <c r="BH35" s="32">
        <v>64.7</v>
      </c>
      <c r="BI35" s="32">
        <v>66.7</v>
      </c>
      <c r="BJ35" s="32"/>
      <c r="BK35" s="32">
        <v>54.7</v>
      </c>
      <c r="BL35" s="32">
        <v>56.7</v>
      </c>
      <c r="BM35" s="32">
        <v>58.7</v>
      </c>
      <c r="BN35" s="125">
        <v>60.7</v>
      </c>
      <c r="BO35" s="125">
        <v>62.7</v>
      </c>
      <c r="BP35" s="125">
        <v>64.7</v>
      </c>
      <c r="BQ35" s="52">
        <v>66.7</v>
      </c>
    </row>
    <row r="36" spans="1:74" x14ac:dyDescent="0.15">
      <c r="A36" s="130" t="s">
        <v>151</v>
      </c>
      <c r="B36" s="41">
        <v>33</v>
      </c>
      <c r="C36" s="170"/>
      <c r="D36" s="153"/>
      <c r="E36" s="153"/>
      <c r="F36" s="153"/>
      <c r="G36" s="141"/>
      <c r="H36" s="141"/>
      <c r="I36" s="141"/>
      <c r="J36" s="158">
        <v>20</v>
      </c>
      <c r="K36" s="172"/>
      <c r="L36" s="153"/>
      <c r="M36" s="152"/>
      <c r="N36" s="153"/>
      <c r="O36" s="141">
        <f>IF(((L36-M36)/2-(D36-E36)/2)&lt;=LOOKUP(E36,{0,9.99,11.99,17.99,23.99,29.99,35.99,47.99,59.99},{0,0.4,0.5,0.75,1,1.25,1.5,2,2.5}),M36,((L36+M36)/2-(D36-E36)/2))</f>
        <v>0</v>
      </c>
      <c r="P36" s="141"/>
      <c r="Q36" s="141"/>
      <c r="R36" s="153">
        <v>20</v>
      </c>
      <c r="S36" s="158">
        <v>0</v>
      </c>
      <c r="T36" s="159" t="s">
        <v>93</v>
      </c>
      <c r="U36" s="159" t="s">
        <v>93</v>
      </c>
      <c r="V36" s="90"/>
      <c r="W36" s="134"/>
      <c r="X36" s="92" t="str">
        <f t="shared" si="6"/>
        <v/>
      </c>
      <c r="Y36" s="92"/>
      <c r="Z36" s="143"/>
      <c r="AK36" s="46">
        <v>24</v>
      </c>
      <c r="AL36" s="32">
        <v>12.5</v>
      </c>
      <c r="AM36" s="28"/>
      <c r="AN36" s="28"/>
      <c r="AO36" s="28"/>
      <c r="AP36" s="28"/>
      <c r="AQ36" s="28"/>
      <c r="AR36" s="28"/>
      <c r="AS36" s="28"/>
      <c r="AT36" s="32">
        <v>12.5</v>
      </c>
      <c r="AU36" s="28"/>
      <c r="AV36" s="28"/>
      <c r="AW36" s="28"/>
      <c r="AX36" s="31"/>
      <c r="AY36" s="31"/>
      <c r="AZ36" s="31"/>
      <c r="BA36" s="47"/>
      <c r="BB36" s="32">
        <v>12.5</v>
      </c>
      <c r="BC36" s="28"/>
      <c r="BD36" s="28"/>
      <c r="BE36" s="28"/>
      <c r="BF36" s="28"/>
      <c r="BG36" s="28"/>
      <c r="BH36" s="28"/>
      <c r="BI36" s="28"/>
      <c r="BJ36" s="32">
        <v>12.5</v>
      </c>
      <c r="BK36" s="28"/>
      <c r="BL36" s="28"/>
      <c r="BM36" s="28"/>
      <c r="BN36" s="31"/>
      <c r="BO36" s="31"/>
      <c r="BP36" s="31"/>
      <c r="BQ36" s="47"/>
    </row>
    <row r="37" spans="1:74" x14ac:dyDescent="0.15">
      <c r="A37" s="130" t="s">
        <v>152</v>
      </c>
      <c r="B37" s="41">
        <v>34</v>
      </c>
      <c r="C37" s="170"/>
      <c r="D37" s="153"/>
      <c r="E37" s="153"/>
      <c r="F37" s="153"/>
      <c r="G37" s="141"/>
      <c r="H37" s="141"/>
      <c r="I37" s="141"/>
      <c r="J37" s="158">
        <v>20</v>
      </c>
      <c r="K37" s="172"/>
      <c r="L37" s="153"/>
      <c r="M37" s="152"/>
      <c r="N37" s="153"/>
      <c r="O37" s="141">
        <f>IF(((L37-M37)/2-(D37-E37)/2)&lt;=LOOKUP(E37,{0,9.99,11.99,17.99,23.99,29.99,35.99,47.99,59.99},{0,0.4,0.5,0.75,1,1.25,1.5,2,2.5}),M37,((L37+M37)/2-(D37-E37)/2))</f>
        <v>0</v>
      </c>
      <c r="P37" s="141"/>
      <c r="Q37" s="141"/>
      <c r="R37" s="153">
        <v>20</v>
      </c>
      <c r="S37" s="158">
        <v>0</v>
      </c>
      <c r="T37" s="159" t="s">
        <v>93</v>
      </c>
      <c r="U37" s="159" t="s">
        <v>93</v>
      </c>
      <c r="V37" s="90"/>
      <c r="W37" s="134"/>
      <c r="X37" s="92" t="str">
        <f t="shared" si="6"/>
        <v/>
      </c>
      <c r="Y37" s="92"/>
      <c r="Z37" s="143"/>
      <c r="AK37" s="46">
        <v>24</v>
      </c>
      <c r="AL37" s="32">
        <v>16</v>
      </c>
      <c r="AM37" s="28"/>
      <c r="AN37" s="28"/>
      <c r="AO37" s="28"/>
      <c r="AP37" s="28"/>
      <c r="AQ37" s="28"/>
      <c r="AR37" s="28"/>
      <c r="AS37" s="28"/>
      <c r="AT37" s="32">
        <v>16</v>
      </c>
      <c r="AU37" s="28"/>
      <c r="AV37" s="28"/>
      <c r="AW37" s="28"/>
      <c r="AX37" s="31"/>
      <c r="AY37" s="31"/>
      <c r="AZ37" s="31"/>
      <c r="BA37" s="47"/>
      <c r="BB37" s="32">
        <v>16</v>
      </c>
      <c r="BC37" s="28"/>
      <c r="BD37" s="28"/>
      <c r="BE37" s="28"/>
      <c r="BF37" s="28"/>
      <c r="BG37" s="28"/>
      <c r="BH37" s="28"/>
      <c r="BI37" s="28"/>
      <c r="BJ37" s="32">
        <v>16</v>
      </c>
      <c r="BK37" s="28"/>
      <c r="BL37" s="28"/>
      <c r="BM37" s="28"/>
      <c r="BN37" s="31"/>
      <c r="BO37" s="31"/>
      <c r="BP37" s="31"/>
      <c r="BQ37" s="47"/>
    </row>
    <row r="38" spans="1:74" x14ac:dyDescent="0.15">
      <c r="A38" s="130" t="s">
        <v>153</v>
      </c>
      <c r="B38" s="41">
        <v>35</v>
      </c>
      <c r="C38" s="170"/>
      <c r="D38" s="153"/>
      <c r="E38" s="153"/>
      <c r="F38" s="153"/>
      <c r="G38" s="141"/>
      <c r="H38" s="141"/>
      <c r="I38" s="141"/>
      <c r="J38" s="158">
        <v>20</v>
      </c>
      <c r="K38" s="172"/>
      <c r="L38" s="153"/>
      <c r="M38" s="152"/>
      <c r="N38" s="153"/>
      <c r="O38" s="141">
        <f>IF(((L38-M38)/2-(D38-E38)/2)&lt;=LOOKUP(E38,{0,9.99,11.99,17.99,23.99,29.99,35.99,47.99,59.99},{0,0.4,0.5,0.75,1,1.25,1.5,2,2.5}),M38,((L38+M38)/2-(D38-E38)/2))</f>
        <v>0</v>
      </c>
      <c r="P38" s="141"/>
      <c r="Q38" s="141"/>
      <c r="R38" s="153">
        <v>20</v>
      </c>
      <c r="S38" s="158">
        <v>0</v>
      </c>
      <c r="T38" s="159" t="s">
        <v>93</v>
      </c>
      <c r="U38" s="159" t="s">
        <v>93</v>
      </c>
      <c r="V38" s="90"/>
      <c r="W38" s="134"/>
      <c r="X38" s="92" t="str">
        <f t="shared" si="6"/>
        <v/>
      </c>
      <c r="Y38" s="92"/>
      <c r="Z38" s="143"/>
      <c r="AB38" s="106"/>
      <c r="AC38" s="107" t="s">
        <v>154</v>
      </c>
      <c r="AD38" s="136" t="s">
        <v>155</v>
      </c>
      <c r="AE38" s="138" t="s">
        <v>156</v>
      </c>
      <c r="AF38" s="139" t="s">
        <v>157</v>
      </c>
      <c r="AG38" s="1"/>
      <c r="AH38" s="1"/>
      <c r="AK38" s="46">
        <v>24</v>
      </c>
      <c r="AL38" s="32">
        <v>20</v>
      </c>
      <c r="AM38" s="28"/>
      <c r="AN38" s="28"/>
      <c r="AO38" s="28"/>
      <c r="AP38" s="28"/>
      <c r="AQ38" s="28"/>
      <c r="AR38" s="28"/>
      <c r="AS38" s="28"/>
      <c r="AT38" s="32">
        <v>20</v>
      </c>
      <c r="AU38" s="28"/>
      <c r="AV38" s="28"/>
      <c r="AW38" s="28"/>
      <c r="AX38" s="31"/>
      <c r="AY38" s="31"/>
      <c r="AZ38" s="31"/>
      <c r="BA38" s="47"/>
      <c r="BB38" s="32">
        <v>20</v>
      </c>
      <c r="BC38" s="28"/>
      <c r="BD38" s="28"/>
      <c r="BE38" s="28"/>
      <c r="BF38" s="28"/>
      <c r="BG38" s="28"/>
      <c r="BH38" s="28"/>
      <c r="BI38" s="28"/>
      <c r="BJ38" s="32">
        <v>20</v>
      </c>
      <c r="BK38" s="28"/>
      <c r="BL38" s="28"/>
      <c r="BM38" s="28"/>
      <c r="BN38" s="31"/>
      <c r="BO38" s="31"/>
      <c r="BP38" s="31"/>
      <c r="BQ38" s="47"/>
    </row>
    <row r="39" spans="1:74" x14ac:dyDescent="0.15">
      <c r="A39" s="130" t="s">
        <v>158</v>
      </c>
      <c r="B39" s="41">
        <v>36</v>
      </c>
      <c r="C39" s="170"/>
      <c r="D39" s="153"/>
      <c r="E39" s="153"/>
      <c r="F39" s="153"/>
      <c r="G39" s="141"/>
      <c r="H39" s="141"/>
      <c r="I39" s="141"/>
      <c r="J39" s="158">
        <v>20</v>
      </c>
      <c r="K39" s="172"/>
      <c r="L39" s="153"/>
      <c r="M39" s="152"/>
      <c r="N39" s="153"/>
      <c r="O39" s="141">
        <f>IF(((L39-M39)/2-(D39-E39)/2)&lt;=LOOKUP(E39,{0,9.99,11.99,17.99,23.99,29.99,35.99,47.99,59.99},{0,0.4,0.5,0.75,1,1.25,1.5,2,2.5}),M39,((L39+M39)/2-(D39-E39)/2))</f>
        <v>0</v>
      </c>
      <c r="P39" s="141"/>
      <c r="Q39" s="141"/>
      <c r="R39" s="153">
        <v>20</v>
      </c>
      <c r="S39" s="158">
        <v>0</v>
      </c>
      <c r="T39" s="159" t="s">
        <v>93</v>
      </c>
      <c r="U39" s="159" t="s">
        <v>93</v>
      </c>
      <c r="V39" s="90"/>
      <c r="W39" s="134"/>
      <c r="X39" s="92" t="str">
        <f t="shared" si="6"/>
        <v/>
      </c>
      <c r="Y39" s="92"/>
      <c r="Z39" s="143"/>
      <c r="AB39" s="108">
        <v>12.5</v>
      </c>
      <c r="AC39" s="109">
        <v>4.5</v>
      </c>
      <c r="AD39" s="127">
        <v>5</v>
      </c>
      <c r="AE39" s="51">
        <v>2</v>
      </c>
      <c r="AF39" s="47">
        <v>2</v>
      </c>
      <c r="AK39" s="46">
        <v>24</v>
      </c>
      <c r="AL39" s="32">
        <v>25</v>
      </c>
      <c r="AM39" s="28"/>
      <c r="AN39" s="28"/>
      <c r="AO39" s="28"/>
      <c r="AP39" s="28"/>
      <c r="AQ39" s="28"/>
      <c r="AR39" s="28"/>
      <c r="AS39" s="28"/>
      <c r="AT39" s="32">
        <v>25</v>
      </c>
      <c r="AU39" s="28"/>
      <c r="AV39" s="28"/>
      <c r="AW39" s="28"/>
      <c r="AX39" s="31"/>
      <c r="AY39" s="31"/>
      <c r="AZ39" s="31"/>
      <c r="BA39" s="47"/>
      <c r="BB39" s="32">
        <v>25</v>
      </c>
      <c r="BC39" s="28"/>
      <c r="BD39" s="28"/>
      <c r="BE39" s="28"/>
      <c r="BF39" s="28"/>
      <c r="BG39" s="28"/>
      <c r="BH39" s="28"/>
      <c r="BI39" s="28"/>
      <c r="BJ39" s="32">
        <v>25</v>
      </c>
      <c r="BK39" s="28"/>
      <c r="BL39" s="28"/>
      <c r="BM39" s="28"/>
      <c r="BN39" s="31"/>
      <c r="BO39" s="31"/>
      <c r="BP39" s="31"/>
      <c r="BQ39" s="47"/>
    </row>
    <row r="40" spans="1:74" x14ac:dyDescent="0.15">
      <c r="A40" s="130" t="s">
        <v>159</v>
      </c>
      <c r="B40" s="41">
        <v>37</v>
      </c>
      <c r="C40" s="170"/>
      <c r="D40" s="153"/>
      <c r="E40" s="153"/>
      <c r="F40" s="153"/>
      <c r="G40" s="141"/>
      <c r="H40" s="141"/>
      <c r="I40" s="141"/>
      <c r="J40" s="158">
        <v>20</v>
      </c>
      <c r="K40" s="172"/>
      <c r="L40" s="153"/>
      <c r="M40" s="152"/>
      <c r="N40" s="153"/>
      <c r="O40" s="141">
        <f>IF(((L40-M40)/2-(D40-E40)/2)&lt;=LOOKUP(E40,{0,9.99,11.99,17.99,23.99,29.99,35.99,47.99,59.99},{0,0.4,0.5,0.75,1,1.25,1.5,2,2.5}),M40,((L40+M40)/2-(D40-E40)/2))</f>
        <v>0</v>
      </c>
      <c r="P40" s="141"/>
      <c r="Q40" s="141"/>
      <c r="R40" s="153">
        <v>20</v>
      </c>
      <c r="S40" s="158">
        <v>0</v>
      </c>
      <c r="T40" s="159" t="s">
        <v>93</v>
      </c>
      <c r="U40" s="159" t="s">
        <v>93</v>
      </c>
      <c r="V40" s="90"/>
      <c r="W40" s="134"/>
      <c r="X40" s="92" t="str">
        <f t="shared" si="6"/>
        <v/>
      </c>
      <c r="Y40" s="92"/>
      <c r="Z40" s="143"/>
      <c r="AB40" s="108">
        <v>16</v>
      </c>
      <c r="AC40" s="109">
        <v>4.5</v>
      </c>
      <c r="AD40" s="127">
        <v>5</v>
      </c>
      <c r="AE40" s="51">
        <v>3</v>
      </c>
      <c r="AF40" s="47">
        <v>3</v>
      </c>
      <c r="AK40" s="46">
        <v>24</v>
      </c>
      <c r="AL40" s="32">
        <v>32</v>
      </c>
      <c r="AM40" s="28"/>
      <c r="AN40" s="28"/>
      <c r="AO40" s="28"/>
      <c r="AP40" s="28"/>
      <c r="AQ40" s="28"/>
      <c r="AR40" s="28"/>
      <c r="AS40" s="28"/>
      <c r="AT40" s="32">
        <v>32</v>
      </c>
      <c r="AU40" s="28"/>
      <c r="AV40" s="28"/>
      <c r="AW40" s="28"/>
      <c r="AX40" s="31"/>
      <c r="AY40" s="31"/>
      <c r="AZ40" s="31"/>
      <c r="BA40" s="47"/>
      <c r="BB40" s="32">
        <v>32</v>
      </c>
      <c r="BC40" s="28"/>
      <c r="BD40" s="28"/>
      <c r="BE40" s="28"/>
      <c r="BF40" s="28"/>
      <c r="BG40" s="28"/>
      <c r="BH40" s="28"/>
      <c r="BI40" s="28"/>
      <c r="BJ40" s="32">
        <v>32</v>
      </c>
      <c r="BK40" s="28"/>
      <c r="BL40" s="28"/>
      <c r="BM40" s="28"/>
      <c r="BN40" s="31"/>
      <c r="BO40" s="31"/>
      <c r="BP40" s="31"/>
      <c r="BQ40" s="47"/>
      <c r="BV40" s="75"/>
    </row>
    <row r="41" spans="1:74" x14ac:dyDescent="0.15">
      <c r="A41" s="130" t="s">
        <v>160</v>
      </c>
      <c r="B41" s="41">
        <v>38</v>
      </c>
      <c r="C41" s="170"/>
      <c r="D41" s="153"/>
      <c r="E41" s="153"/>
      <c r="F41" s="153"/>
      <c r="G41" s="141"/>
      <c r="H41" s="141"/>
      <c r="I41" s="141"/>
      <c r="J41" s="158">
        <v>20</v>
      </c>
      <c r="K41" s="172"/>
      <c r="L41" s="153"/>
      <c r="M41" s="152"/>
      <c r="N41" s="153"/>
      <c r="O41" s="141">
        <f>IF(((L41-M41)/2-(D41-E41)/2)&lt;=LOOKUP(E41,{0,9.99,11.99,17.99,23.99,29.99,35.99,47.99,59.99},{0,0.4,0.5,0.75,1,1.25,1.5,2,2.5}),M41,((L41+M41)/2-(D41-E41)/2))</f>
        <v>0</v>
      </c>
      <c r="P41" s="141"/>
      <c r="Q41" s="141"/>
      <c r="R41" s="153">
        <v>20</v>
      </c>
      <c r="S41" s="158">
        <v>0</v>
      </c>
      <c r="T41" s="159" t="s">
        <v>93</v>
      </c>
      <c r="U41" s="159" t="s">
        <v>93</v>
      </c>
      <c r="V41" s="90"/>
      <c r="W41" s="134"/>
      <c r="X41" s="92" t="str">
        <f t="shared" si="6"/>
        <v/>
      </c>
      <c r="Y41" s="92"/>
      <c r="Z41" s="143"/>
      <c r="AB41" s="108">
        <v>20</v>
      </c>
      <c r="AC41" s="109">
        <v>4.5</v>
      </c>
      <c r="AD41" s="127">
        <v>5</v>
      </c>
      <c r="AE41" s="51">
        <v>4</v>
      </c>
      <c r="AF41" s="47">
        <v>4</v>
      </c>
      <c r="AK41" s="46">
        <v>24</v>
      </c>
      <c r="AL41" s="32">
        <v>40</v>
      </c>
      <c r="AM41" s="28"/>
      <c r="AN41" s="28"/>
      <c r="AO41" s="28"/>
      <c r="AP41" s="28"/>
      <c r="AQ41" s="28"/>
      <c r="AR41" s="28"/>
      <c r="AS41" s="28"/>
      <c r="AT41" s="32">
        <v>40</v>
      </c>
      <c r="AU41" s="28"/>
      <c r="AV41" s="28"/>
      <c r="AW41" s="28"/>
      <c r="AX41" s="31"/>
      <c r="AY41" s="31"/>
      <c r="AZ41" s="31"/>
      <c r="BA41" s="47"/>
      <c r="BB41" s="32">
        <v>40</v>
      </c>
      <c r="BC41" s="28"/>
      <c r="BD41" s="28"/>
      <c r="BE41" s="28"/>
      <c r="BF41" s="28"/>
      <c r="BG41" s="28"/>
      <c r="BH41" s="28"/>
      <c r="BI41" s="28"/>
      <c r="BJ41" s="32">
        <v>40</v>
      </c>
      <c r="BK41" s="28"/>
      <c r="BL41" s="28"/>
      <c r="BM41" s="28"/>
      <c r="BN41" s="31"/>
      <c r="BO41" s="31"/>
      <c r="BP41" s="31"/>
      <c r="BQ41" s="47"/>
      <c r="BV41" s="1"/>
    </row>
    <row r="42" spans="1:74" x14ac:dyDescent="0.15">
      <c r="A42" s="130" t="s">
        <v>161</v>
      </c>
      <c r="B42" s="41">
        <v>39</v>
      </c>
      <c r="C42" s="170"/>
      <c r="D42" s="153"/>
      <c r="E42" s="153"/>
      <c r="F42" s="153"/>
      <c r="G42" s="141"/>
      <c r="H42" s="141"/>
      <c r="I42" s="141"/>
      <c r="J42" s="158">
        <v>20</v>
      </c>
      <c r="K42" s="172"/>
      <c r="L42" s="153"/>
      <c r="M42" s="152"/>
      <c r="N42" s="153"/>
      <c r="O42" s="141">
        <f>IF(((L42-M42)/2-(D42-E42)/2)&lt;=LOOKUP(E42,{0,9.99,11.99,17.99,23.99,29.99,35.99,47.99,59.99},{0,0.4,0.5,0.75,1,1.25,1.5,2,2.5}),M42,((L42+M42)/2-(D42-E42)/2))</f>
        <v>0</v>
      </c>
      <c r="P42" s="141"/>
      <c r="Q42" s="141"/>
      <c r="R42" s="153">
        <v>20</v>
      </c>
      <c r="S42" s="158">
        <v>0</v>
      </c>
      <c r="T42" s="159" t="s">
        <v>93</v>
      </c>
      <c r="U42" s="159" t="s">
        <v>93</v>
      </c>
      <c r="V42" s="90"/>
      <c r="W42" s="134"/>
      <c r="X42" s="92" t="str">
        <f t="shared" si="6"/>
        <v/>
      </c>
      <c r="Y42" s="92"/>
      <c r="Z42" s="143"/>
      <c r="AB42" s="108">
        <v>25</v>
      </c>
      <c r="AC42" s="109">
        <v>4.5</v>
      </c>
      <c r="AD42" s="127">
        <v>5</v>
      </c>
      <c r="AE42" s="51">
        <v>5</v>
      </c>
      <c r="AF42" s="47">
        <v>5</v>
      </c>
      <c r="AK42" s="46">
        <v>24</v>
      </c>
      <c r="AL42" s="32">
        <v>50</v>
      </c>
      <c r="AM42" s="28"/>
      <c r="AN42" s="28"/>
      <c r="AO42" s="28"/>
      <c r="AP42" s="28"/>
      <c r="AQ42" s="28"/>
      <c r="AR42" s="28"/>
      <c r="AS42" s="28"/>
      <c r="AT42" s="32">
        <v>50</v>
      </c>
      <c r="AU42" s="28"/>
      <c r="AV42" s="28"/>
      <c r="AW42" s="28"/>
      <c r="AX42" s="31"/>
      <c r="AY42" s="31"/>
      <c r="AZ42" s="31"/>
      <c r="BA42" s="47"/>
      <c r="BB42" s="32">
        <v>50</v>
      </c>
      <c r="BC42" s="28"/>
      <c r="BD42" s="28"/>
      <c r="BE42" s="28"/>
      <c r="BF42" s="28"/>
      <c r="BG42" s="28"/>
      <c r="BH42" s="28"/>
      <c r="BI42" s="28"/>
      <c r="BJ42" s="32">
        <v>50</v>
      </c>
      <c r="BK42" s="28"/>
      <c r="BL42" s="28"/>
      <c r="BM42" s="28"/>
      <c r="BN42" s="31"/>
      <c r="BO42" s="31"/>
      <c r="BP42" s="31"/>
      <c r="BQ42" s="47"/>
    </row>
    <row r="43" spans="1:74" x14ac:dyDescent="0.15">
      <c r="A43" s="131" t="s">
        <v>162</v>
      </c>
      <c r="B43" s="57">
        <v>40</v>
      </c>
      <c r="C43" s="171"/>
      <c r="D43" s="155"/>
      <c r="E43" s="155"/>
      <c r="F43" s="155"/>
      <c r="G43" s="148"/>
      <c r="H43" s="148"/>
      <c r="I43" s="148"/>
      <c r="J43" s="160">
        <v>20</v>
      </c>
      <c r="K43" s="173"/>
      <c r="L43" s="155"/>
      <c r="M43" s="154"/>
      <c r="N43" s="155"/>
      <c r="O43" s="148">
        <f>IF(((L43-M43)/2-(D43-E43)/2)&lt;=LOOKUP(E43,{0,9.99,11.99,17.99,23.99,29.99,35.99,47.99,59.99},{0,0.4,0.5,0.75,1,1.25,1.5,2,2.5}),M43,((L43+M43)/2-(D43-E43)/2))</f>
        <v>0</v>
      </c>
      <c r="P43" s="148"/>
      <c r="Q43" s="148"/>
      <c r="R43" s="155">
        <v>20</v>
      </c>
      <c r="S43" s="160">
        <v>0</v>
      </c>
      <c r="T43" s="161" t="s">
        <v>93</v>
      </c>
      <c r="U43" s="161" t="s">
        <v>93</v>
      </c>
      <c r="V43" s="132"/>
      <c r="W43" s="135"/>
      <c r="X43" s="93" t="str">
        <f t="shared" si="6"/>
        <v/>
      </c>
      <c r="Y43" s="93"/>
      <c r="Z43" s="144"/>
      <c r="AB43" s="108">
        <v>32</v>
      </c>
      <c r="AC43" s="109">
        <v>5.5</v>
      </c>
      <c r="AD43" s="127">
        <v>5.5</v>
      </c>
      <c r="AE43" s="51">
        <v>6.5</v>
      </c>
      <c r="AF43" s="47">
        <v>6.5</v>
      </c>
      <c r="AK43" s="46">
        <v>24</v>
      </c>
      <c r="AL43" s="32"/>
      <c r="AM43" s="28"/>
      <c r="AN43" s="28"/>
      <c r="AO43" s="28"/>
      <c r="AP43" s="28"/>
      <c r="AQ43" s="28"/>
      <c r="AR43" s="28"/>
      <c r="AS43" s="28"/>
      <c r="AT43" s="32"/>
      <c r="AU43" s="28"/>
      <c r="AV43" s="28"/>
      <c r="AW43" s="28"/>
      <c r="AX43" s="31"/>
      <c r="AY43" s="31"/>
      <c r="AZ43" s="31"/>
      <c r="BA43" s="47"/>
      <c r="BB43" s="32"/>
      <c r="BC43" s="28"/>
      <c r="BD43" s="28"/>
      <c r="BE43" s="28"/>
      <c r="BF43" s="28"/>
      <c r="BG43" s="28"/>
      <c r="BH43" s="28"/>
      <c r="BI43" s="28"/>
      <c r="BJ43" s="32"/>
      <c r="BK43" s="28"/>
      <c r="BL43" s="28"/>
      <c r="BM43" s="28"/>
      <c r="BN43" s="31"/>
      <c r="BO43" s="31"/>
      <c r="BP43" s="31"/>
      <c r="BQ43" s="47"/>
    </row>
    <row r="44" spans="1:74" x14ac:dyDescent="0.15">
      <c r="AB44" s="108">
        <v>40</v>
      </c>
      <c r="AC44" s="109"/>
      <c r="AD44" s="127"/>
      <c r="AE44" s="51">
        <v>8</v>
      </c>
      <c r="AF44" s="47">
        <v>8</v>
      </c>
      <c r="AK44" s="48">
        <v>24</v>
      </c>
      <c r="AL44" s="56"/>
      <c r="AM44" s="49"/>
      <c r="AN44" s="49"/>
      <c r="AO44" s="49"/>
      <c r="AP44" s="49"/>
      <c r="AQ44" s="49"/>
      <c r="AR44" s="49"/>
      <c r="AS44" s="49"/>
      <c r="AT44" s="56"/>
      <c r="AU44" s="49"/>
      <c r="AV44" s="49"/>
      <c r="AW44" s="49"/>
      <c r="AX44" s="73"/>
      <c r="AY44" s="73"/>
      <c r="AZ44" s="73"/>
      <c r="BA44" s="50"/>
      <c r="BB44" s="56"/>
      <c r="BC44" s="49"/>
      <c r="BD44" s="49"/>
      <c r="BE44" s="49"/>
      <c r="BF44" s="49"/>
      <c r="BG44" s="49"/>
      <c r="BH44" s="49"/>
      <c r="BI44" s="49"/>
      <c r="BJ44" s="56"/>
      <c r="BK44" s="49"/>
      <c r="BL44" s="49"/>
      <c r="BM44" s="49"/>
      <c r="BN44" s="73"/>
      <c r="BO44" s="73"/>
      <c r="BP44" s="73"/>
      <c r="BQ44" s="50"/>
    </row>
    <row r="45" spans="1:74" x14ac:dyDescent="0.15">
      <c r="AB45" s="111">
        <v>50</v>
      </c>
      <c r="AC45" s="112"/>
      <c r="AD45" s="137"/>
      <c r="AE45" s="74">
        <v>10</v>
      </c>
      <c r="AF45" s="50">
        <v>10</v>
      </c>
      <c r="AP45" s="24"/>
      <c r="AQ45" s="24"/>
      <c r="AR45" s="24"/>
      <c r="AS45" s="24"/>
    </row>
    <row r="46" spans="1:74" ht="72.75" customHeight="1" x14ac:dyDescent="0.15">
      <c r="A46" s="191" t="s">
        <v>163</v>
      </c>
      <c r="B46" s="192"/>
      <c r="C46" s="192"/>
      <c r="D46" s="192"/>
      <c r="E46" s="192"/>
      <c r="F46" s="192"/>
      <c r="G46" s="192"/>
      <c r="H46" s="192"/>
      <c r="I46" s="192"/>
      <c r="J46" s="192"/>
      <c r="K46" s="149"/>
    </row>
    <row r="47" spans="1:74" x14ac:dyDescent="0.15">
      <c r="A47" s="149"/>
      <c r="B47" s="149"/>
      <c r="C47" s="149"/>
      <c r="D47" s="149"/>
      <c r="E47" s="149"/>
      <c r="F47" s="149"/>
      <c r="G47" s="149"/>
      <c r="H47" s="149"/>
      <c r="I47" s="149"/>
      <c r="J47" s="149"/>
      <c r="K47" s="149"/>
    </row>
    <row r="48" spans="1:74" x14ac:dyDescent="0.15">
      <c r="A48" s="149"/>
      <c r="B48" s="149"/>
      <c r="C48" s="149"/>
      <c r="D48" s="149"/>
      <c r="E48" s="149"/>
      <c r="F48" s="149"/>
      <c r="G48" s="149"/>
      <c r="H48" s="149"/>
      <c r="I48" s="149"/>
      <c r="J48" s="149"/>
      <c r="K48" s="149"/>
    </row>
    <row r="49" spans="1:35" x14ac:dyDescent="0.15">
      <c r="A49" s="149"/>
      <c r="B49" s="149"/>
      <c r="C49" s="149"/>
      <c r="D49" s="149"/>
      <c r="E49" s="149"/>
      <c r="F49" s="149"/>
      <c r="G49" s="149"/>
      <c r="H49" s="149"/>
      <c r="I49" s="149"/>
      <c r="J49" s="149"/>
      <c r="K49" s="149"/>
      <c r="AB49" s="174" t="s">
        <v>164</v>
      </c>
      <c r="AC49" s="175"/>
      <c r="AD49" s="175"/>
      <c r="AE49" s="175"/>
      <c r="AF49" s="176"/>
      <c r="AG49" s="176"/>
      <c r="AH49" s="176"/>
      <c r="AI49" s="177"/>
    </row>
    <row r="50" spans="1:35" x14ac:dyDescent="0.15">
      <c r="A50" s="149"/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AB50" s="178"/>
      <c r="AC50" s="179">
        <v>54.7</v>
      </c>
      <c r="AD50" s="179">
        <v>56.7</v>
      </c>
      <c r="AE50" s="179">
        <v>58.7</v>
      </c>
      <c r="AF50" s="180">
        <v>60.7</v>
      </c>
      <c r="AG50" s="180">
        <v>62.7</v>
      </c>
      <c r="AH50" s="180">
        <v>64.7</v>
      </c>
      <c r="AI50" s="181">
        <v>66.7</v>
      </c>
    </row>
    <row r="51" spans="1:35" ht="14.25" customHeight="1" x14ac:dyDescent="0.15">
      <c r="A51" s="149"/>
      <c r="B51" s="149"/>
      <c r="C51" s="149"/>
      <c r="D51" s="149"/>
      <c r="E51" s="149"/>
      <c r="F51" s="149"/>
      <c r="G51" s="149"/>
      <c r="H51" s="149"/>
      <c r="I51" s="149"/>
      <c r="J51" s="149"/>
      <c r="K51" s="149"/>
      <c r="AB51" s="182">
        <v>12.5</v>
      </c>
      <c r="AC51" s="30">
        <v>6.806</v>
      </c>
      <c r="AD51" s="30">
        <v>6.8529999999999998</v>
      </c>
      <c r="AE51" s="30">
        <v>6.6619999999999999</v>
      </c>
      <c r="AF51" s="126">
        <v>6.4640000000000004</v>
      </c>
      <c r="AG51" s="126"/>
      <c r="AH51" s="126"/>
      <c r="AI51" s="53"/>
    </row>
    <row r="52" spans="1:35" x14ac:dyDescent="0.15">
      <c r="A52" s="149"/>
      <c r="B52" s="149"/>
      <c r="C52" s="149"/>
      <c r="D52" s="149"/>
      <c r="E52" s="149"/>
      <c r="F52" s="149"/>
      <c r="G52" s="149"/>
      <c r="H52" s="149"/>
      <c r="I52" s="149"/>
      <c r="J52" s="149"/>
      <c r="K52" s="149"/>
      <c r="AB52" s="182">
        <v>16</v>
      </c>
      <c r="AC52" s="30">
        <v>8.8140000000000001</v>
      </c>
      <c r="AD52" s="30">
        <v>8.8089999999999993</v>
      </c>
      <c r="AE52" s="30">
        <v>8.5640000000000001</v>
      </c>
      <c r="AF52" s="126">
        <v>8.3089999999999993</v>
      </c>
      <c r="AG52" s="126"/>
      <c r="AH52" s="126"/>
      <c r="AI52" s="53"/>
    </row>
    <row r="53" spans="1:35" x14ac:dyDescent="0.15">
      <c r="A53" s="149"/>
      <c r="B53" s="149"/>
      <c r="C53" s="149"/>
      <c r="D53" s="149"/>
      <c r="E53" s="149"/>
      <c r="F53" s="149"/>
      <c r="G53" s="149"/>
      <c r="H53" s="149"/>
      <c r="I53" s="149"/>
      <c r="J53" s="149"/>
      <c r="K53" s="149"/>
      <c r="AB53" s="182">
        <v>20</v>
      </c>
      <c r="AC53" s="30">
        <v>11.114000000000001</v>
      </c>
      <c r="AD53" s="30">
        <v>11.004</v>
      </c>
      <c r="AE53" s="30">
        <v>10.699</v>
      </c>
      <c r="AF53" s="126">
        <v>10.38</v>
      </c>
      <c r="AG53" s="126"/>
      <c r="AH53" s="126"/>
      <c r="AI53" s="53"/>
    </row>
    <row r="54" spans="1:35" x14ac:dyDescent="0.15">
      <c r="A54" s="149"/>
      <c r="B54" s="149"/>
      <c r="C54" s="149"/>
      <c r="D54" s="149"/>
      <c r="E54" s="149"/>
      <c r="F54" s="149"/>
      <c r="G54" s="149"/>
      <c r="H54" s="149"/>
      <c r="I54" s="149"/>
      <c r="J54" s="149"/>
      <c r="K54" s="149"/>
      <c r="AB54" s="182">
        <v>25</v>
      </c>
      <c r="AC54" s="30">
        <v>13.759</v>
      </c>
      <c r="AD54" s="30">
        <v>13.759</v>
      </c>
      <c r="AE54" s="30">
        <v>13.375999999999999</v>
      </c>
      <c r="AF54" s="126">
        <v>12.977</v>
      </c>
      <c r="AG54" s="126"/>
      <c r="AH54" s="126"/>
      <c r="AI54" s="53"/>
    </row>
    <row r="55" spans="1:35" x14ac:dyDescent="0.15">
      <c r="A55" s="149"/>
      <c r="B55" s="149"/>
      <c r="C55" s="149"/>
      <c r="D55" s="149"/>
      <c r="E55" s="149"/>
      <c r="F55" s="149"/>
      <c r="G55" s="149"/>
      <c r="H55" s="149"/>
      <c r="I55" s="149"/>
      <c r="J55" s="149"/>
      <c r="K55" s="149"/>
      <c r="AB55" s="182">
        <v>32</v>
      </c>
      <c r="AC55" s="30"/>
      <c r="AD55" s="30"/>
      <c r="AE55" s="30">
        <v>17.120999999999999</v>
      </c>
      <c r="AF55" s="126">
        <v>16.611000000000001</v>
      </c>
      <c r="AG55" s="126">
        <v>16.081</v>
      </c>
      <c r="AH55" s="126"/>
      <c r="AI55" s="53"/>
    </row>
    <row r="56" spans="1:35" x14ac:dyDescent="0.15">
      <c r="A56" s="149"/>
      <c r="B56" s="149"/>
      <c r="C56" s="149"/>
      <c r="D56" s="149"/>
      <c r="E56" s="149"/>
      <c r="F56" s="149"/>
      <c r="G56" s="149"/>
      <c r="H56" s="149"/>
      <c r="I56" s="149"/>
      <c r="J56" s="149"/>
      <c r="K56" s="149"/>
      <c r="AB56" s="182">
        <v>40</v>
      </c>
      <c r="AC56" s="30"/>
      <c r="AD56" s="30"/>
      <c r="AE56" s="30"/>
      <c r="AF56" s="126"/>
      <c r="AG56" s="126"/>
      <c r="AH56" s="126"/>
      <c r="AI56" s="53"/>
    </row>
    <row r="57" spans="1:35" x14ac:dyDescent="0.15">
      <c r="A57" s="149"/>
      <c r="B57" s="149"/>
      <c r="C57" s="149"/>
      <c r="D57" s="149"/>
      <c r="E57" s="149"/>
      <c r="F57" s="149"/>
      <c r="G57" s="149"/>
      <c r="H57" s="149"/>
      <c r="I57" s="149"/>
      <c r="J57" s="149"/>
      <c r="K57" s="149"/>
      <c r="AB57" s="183">
        <v>50</v>
      </c>
      <c r="AC57" s="54"/>
      <c r="AD57" s="54"/>
      <c r="AE57" s="54"/>
      <c r="AF57" s="128"/>
      <c r="AG57" s="128"/>
      <c r="AH57" s="128"/>
      <c r="AI57" s="55"/>
    </row>
    <row r="61" spans="1:35" x14ac:dyDescent="0.15">
      <c r="AB61" s="174" t="s">
        <v>165</v>
      </c>
      <c r="AC61" s="175"/>
      <c r="AD61" s="175"/>
      <c r="AE61" s="175"/>
      <c r="AF61" s="176"/>
      <c r="AG61" s="176"/>
      <c r="AH61" s="176"/>
      <c r="AI61" s="177"/>
    </row>
    <row r="62" spans="1:35" x14ac:dyDescent="0.15">
      <c r="AB62" s="178"/>
      <c r="AC62" s="179">
        <v>54.7</v>
      </c>
      <c r="AD62" s="179">
        <v>56.7</v>
      </c>
      <c r="AE62" s="179">
        <v>58.7</v>
      </c>
      <c r="AF62" s="180">
        <v>60.7</v>
      </c>
      <c r="AG62" s="180">
        <v>62.7</v>
      </c>
      <c r="AH62" s="180">
        <v>64.7</v>
      </c>
      <c r="AI62" s="181">
        <v>66.7</v>
      </c>
    </row>
    <row r="63" spans="1:35" x14ac:dyDescent="0.15">
      <c r="AB63" s="182">
        <v>12.5</v>
      </c>
      <c r="AC63" s="30">
        <v>3.45</v>
      </c>
      <c r="AD63" s="30">
        <v>3.194</v>
      </c>
      <c r="AE63" s="30">
        <v>3.1379999999999999</v>
      </c>
      <c r="AF63" s="126">
        <v>3.0870000000000002</v>
      </c>
      <c r="AG63" s="126"/>
      <c r="AH63" s="126"/>
      <c r="AI63" s="53"/>
    </row>
    <row r="64" spans="1:35" x14ac:dyDescent="0.15">
      <c r="AB64" s="182">
        <v>16</v>
      </c>
      <c r="AC64" s="30">
        <v>4.3449999999999998</v>
      </c>
      <c r="AD64" s="30">
        <v>4.0590000000000002</v>
      </c>
      <c r="AE64" s="30">
        <v>4.0039999999999996</v>
      </c>
      <c r="AF64" s="126">
        <v>3.952</v>
      </c>
      <c r="AG64" s="126"/>
      <c r="AH64" s="126"/>
      <c r="AI64" s="53"/>
    </row>
    <row r="65" spans="28:35" x14ac:dyDescent="0.15">
      <c r="AB65" s="182">
        <v>20</v>
      </c>
      <c r="AC65" s="30">
        <v>5.3339999999999996</v>
      </c>
      <c r="AD65" s="30">
        <v>5.08</v>
      </c>
      <c r="AE65" s="30">
        <v>5.0119999999999996</v>
      </c>
      <c r="AF65" s="126">
        <v>4.9459999999999997</v>
      </c>
      <c r="AG65" s="126"/>
      <c r="AH65" s="126"/>
      <c r="AI65" s="53"/>
    </row>
    <row r="66" spans="28:35" x14ac:dyDescent="0.15">
      <c r="AB66" s="182">
        <v>25</v>
      </c>
      <c r="AC66" s="30">
        <v>6.8010000000000002</v>
      </c>
      <c r="AD66" s="30">
        <v>6.3470000000000004</v>
      </c>
      <c r="AE66" s="30">
        <v>6.2619999999999996</v>
      </c>
      <c r="AF66" s="126">
        <v>6.1790000000000003</v>
      </c>
      <c r="AG66" s="126"/>
      <c r="AH66" s="126"/>
      <c r="AI66" s="53"/>
    </row>
    <row r="67" spans="28:35" x14ac:dyDescent="0.15">
      <c r="AB67" s="182">
        <v>32</v>
      </c>
      <c r="AC67" s="30"/>
      <c r="AD67" s="30"/>
      <c r="AE67" s="30">
        <v>8.0150000000000006</v>
      </c>
      <c r="AF67" s="126">
        <v>7.91</v>
      </c>
      <c r="AG67" s="126">
        <v>7.8170000000000002</v>
      </c>
      <c r="AH67" s="126"/>
      <c r="AI67" s="53"/>
    </row>
    <row r="68" spans="28:35" x14ac:dyDescent="0.15">
      <c r="AB68" s="182">
        <v>40</v>
      </c>
      <c r="AC68" s="30"/>
      <c r="AD68" s="30"/>
      <c r="AE68" s="30"/>
      <c r="AF68" s="126"/>
      <c r="AG68" s="126"/>
      <c r="AH68" s="126"/>
      <c r="AI68" s="53"/>
    </row>
    <row r="69" spans="28:35" x14ac:dyDescent="0.15">
      <c r="AB69" s="183">
        <v>50</v>
      </c>
      <c r="AC69" s="54"/>
      <c r="AD69" s="54"/>
      <c r="AE69" s="54"/>
      <c r="AF69" s="128"/>
      <c r="AG69" s="128"/>
      <c r="AH69" s="128"/>
      <c r="AI69" s="55"/>
    </row>
  </sheetData>
  <mergeCells count="23">
    <mergeCell ref="A1:U1"/>
    <mergeCell ref="U2:U3"/>
    <mergeCell ref="AB1:BJ1"/>
    <mergeCell ref="W2:W3"/>
    <mergeCell ref="X2:X3"/>
    <mergeCell ref="AB2:AG2"/>
    <mergeCell ref="V2:V3"/>
    <mergeCell ref="T2:T3"/>
    <mergeCell ref="Y2:Y3"/>
    <mergeCell ref="Z2:Z3"/>
    <mergeCell ref="AA1:AA3"/>
    <mergeCell ref="AH2:AV2"/>
    <mergeCell ref="AW2:BJ2"/>
    <mergeCell ref="C2:J2"/>
    <mergeCell ref="K2:S2"/>
    <mergeCell ref="A46:J46"/>
    <mergeCell ref="BJ14:BQ14"/>
    <mergeCell ref="BB14:BI14"/>
    <mergeCell ref="BB13:BQ13"/>
    <mergeCell ref="AK13:BA13"/>
    <mergeCell ref="AK14:AK15"/>
    <mergeCell ref="AL14:AS14"/>
    <mergeCell ref="AT14:BA14"/>
  </mergeCells>
  <phoneticPr fontId="21" type="noConversion"/>
  <conditionalFormatting sqref="N4:N30">
    <cfRule type="cellIs" priority="1" operator="notEqual">
      <formula>P4</formula>
    </cfRule>
  </conditionalFormatting>
  <dataValidations count="5">
    <dataValidation type="list" allowBlank="1" showInputMessage="1" showErrorMessage="1" sqref="R4:R43 J4:J43" xr:uid="{00000000-0002-0000-0100-000000000000}">
      <formula1>"20,22,24"</formula1>
    </dataValidation>
    <dataValidation type="list" allowBlank="1" showInputMessage="1" showErrorMessage="1" sqref="B2" xr:uid="{00000000-0002-0000-0100-000001000000}">
      <formula1>$B$4:$B$43</formula1>
    </dataValidation>
    <dataValidation type="list" allowBlank="1" showInputMessage="1" showErrorMessage="1" sqref="H4:H43 P4:P43" xr:uid="{00000000-0002-0000-0100-000002000000}">
      <formula1>"12.5,16,20,25,32,40,50"</formula1>
    </dataValidation>
    <dataValidation type="list" allowBlank="1" showInputMessage="1" showErrorMessage="1" sqref="I4:I43 Q4:Q43" xr:uid="{00000000-0002-0000-0100-000003000000}">
      <formula1>"54.7,56.7,58.7,60.7,62.7,64.7,66.7"</formula1>
    </dataValidation>
    <dataValidation type="list" allowBlank="1" showInputMessage="1" showErrorMessage="1" sqref="T4:U43" xr:uid="{00000000-0002-0000-0100-000004000000}">
      <formula1>"是,　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8"/>
  <sheetViews>
    <sheetView topLeftCell="A7" workbookViewId="0">
      <selection activeCell="C9" sqref="C9"/>
    </sheetView>
  </sheetViews>
  <sheetFormatPr defaultRowHeight="14.25" x14ac:dyDescent="0.15"/>
  <cols>
    <col min="1" max="1" width="19.375" customWidth="1"/>
    <col min="2" max="3" width="15" customWidth="1"/>
    <col min="4" max="4" width="11.625" style="11" customWidth="1"/>
    <col min="5" max="7" width="9" style="11" customWidth="1"/>
    <col min="8" max="8" width="13" customWidth="1"/>
  </cols>
  <sheetData>
    <row r="1" spans="1:8" s="11" customFormat="1" x14ac:dyDescent="0.15">
      <c r="A1" s="8" t="s">
        <v>166</v>
      </c>
      <c r="B1" s="8" t="s">
        <v>167</v>
      </c>
      <c r="C1" s="11" t="s">
        <v>168</v>
      </c>
      <c r="D1" s="8"/>
      <c r="H1" s="8"/>
    </row>
    <row r="2" spans="1:8" x14ac:dyDescent="0.15">
      <c r="A2" s="3" t="s">
        <v>169</v>
      </c>
      <c r="B2" s="3" t="s">
        <v>170</v>
      </c>
      <c r="C2" s="3">
        <f>LOOKUP(B48,叶片数据输入!B4:B43,叶片数据输入!F4:F43)</f>
        <v>94</v>
      </c>
      <c r="H2" s="11"/>
    </row>
    <row r="3" spans="1:8" x14ac:dyDescent="0.15">
      <c r="A3" s="3" t="s">
        <v>171</v>
      </c>
      <c r="B3" s="3" t="s">
        <v>172</v>
      </c>
      <c r="C3" s="3">
        <f>LOOKUP(B48,叶片数据输入!B4:B43,叶片数据输入!D4:D43)</f>
        <v>410</v>
      </c>
      <c r="H3" s="11"/>
    </row>
    <row r="4" spans="1:8" x14ac:dyDescent="0.15">
      <c r="A4" s="3" t="s">
        <v>173</v>
      </c>
      <c r="B4" s="3" t="s">
        <v>174</v>
      </c>
      <c r="C4" s="3">
        <f>LOOKUP(B48,叶片数据输入!B4:B43,叶片数据输入!E4:E43)</f>
        <v>20</v>
      </c>
      <c r="H4" s="11"/>
    </row>
    <row r="5" spans="1:8" x14ac:dyDescent="0.15">
      <c r="A5" s="3" t="s">
        <v>175</v>
      </c>
      <c r="B5" s="3" t="s">
        <v>176</v>
      </c>
      <c r="C5" s="3">
        <f>LOOKUP(C9,叶片数据输入!AB4:AB12,叶片数据输入!AO4:AO12)+LOOKUP(动叶计算过程!C5,叶片数据输入!AB4:AB12,叶片数据输入!BI4:BI12)+LOOKUP(B48,叶片数据输入!B4:B43,叶片数据输入!W4:W43)+0.5*((LOOKUP(B48,叶片数据输入!B4:B43,叶片数据输入!L4:L43)+LOOKUP(B48,叶片数据输入!B4:B43,叶片数据输入!M4:M43))-(LOOKUP(B48,叶片数据输入!B4:B43,叶片数据输入!D4:D43)+LOOKUP(B48,叶片数据输入!B4:B43,叶片数据输入!E4:E43)))</f>
        <v>25</v>
      </c>
      <c r="H5" s="11"/>
    </row>
    <row r="6" spans="1:8" x14ac:dyDescent="0.15">
      <c r="A6" s="3" t="s">
        <v>177</v>
      </c>
      <c r="B6" s="3" t="s">
        <v>178</v>
      </c>
      <c r="C6" s="3">
        <f>LOOKUP(C9,叶片数据输入!AB4:AB12,叶片数据输入!AR4:AR12)</f>
        <v>5</v>
      </c>
      <c r="D6" s="8"/>
    </row>
    <row r="7" spans="1:8" x14ac:dyDescent="0.15">
      <c r="A7" s="19" t="s">
        <v>179</v>
      </c>
      <c r="B7" s="19" t="s">
        <v>180</v>
      </c>
      <c r="C7" s="19">
        <f>C6+C5+C4</f>
        <v>50</v>
      </c>
      <c r="D7" s="20"/>
    </row>
    <row r="8" spans="1:8" x14ac:dyDescent="0.15">
      <c r="A8" s="19" t="s">
        <v>181</v>
      </c>
      <c r="B8" s="19" t="s">
        <v>182</v>
      </c>
      <c r="C8" s="19">
        <f>C3-C4-C6*2</f>
        <v>380</v>
      </c>
      <c r="D8" s="20"/>
    </row>
    <row r="9" spans="1:8" x14ac:dyDescent="0.15">
      <c r="A9" s="16" t="s">
        <v>183</v>
      </c>
      <c r="B9" s="16" t="s">
        <v>184</v>
      </c>
      <c r="C9" s="16">
        <f>LOOKUP(B48,叶片数据输入!B4:B43,叶片数据输入!H4:H43)</f>
        <v>16</v>
      </c>
      <c r="D9" s="20"/>
    </row>
    <row r="10" spans="1:8" x14ac:dyDescent="0.15">
      <c r="A10" s="16" t="s">
        <v>117</v>
      </c>
      <c r="B10" s="16" t="s">
        <v>185</v>
      </c>
      <c r="C10" s="16">
        <f>LOOKUP(B48,叶片数据输入!B4:B43,叶片数据输入!J4:J43)</f>
        <v>20</v>
      </c>
      <c r="D10" s="20"/>
    </row>
    <row r="11" spans="1:8" x14ac:dyDescent="0.15">
      <c r="A11" s="16" t="s">
        <v>52</v>
      </c>
      <c r="B11" s="16" t="s">
        <v>186</v>
      </c>
      <c r="C11" s="16">
        <f>LOOKUP(B48,叶片数据输入!B4:B43,叶片数据输入!I4:I43)</f>
        <v>54.7</v>
      </c>
      <c r="D11" s="21"/>
    </row>
    <row r="12" spans="1:8" x14ac:dyDescent="0.15">
      <c r="A12" s="8" t="s">
        <v>187</v>
      </c>
      <c r="B12" s="8" t="s">
        <v>188</v>
      </c>
      <c r="C12" s="8">
        <f>LOOKUP(C9,叶片数据输入!AB4:AB10,叶片数据输入!AG4:AG10)</f>
        <v>9.3117999999999999</v>
      </c>
      <c r="D12" s="21"/>
    </row>
    <row r="13" spans="1:8" x14ac:dyDescent="0.15">
      <c r="A13" s="8" t="s">
        <v>189</v>
      </c>
      <c r="B13" s="8" t="s">
        <v>190</v>
      </c>
      <c r="C13" s="6">
        <f>C8+2*C7</f>
        <v>480</v>
      </c>
      <c r="D13" s="21"/>
    </row>
    <row r="14" spans="1:8" x14ac:dyDescent="0.15">
      <c r="A14" s="9" t="s">
        <v>191</v>
      </c>
      <c r="B14" s="9" t="s">
        <v>192</v>
      </c>
      <c r="C14" s="6">
        <f>C33</f>
        <v>3.8211826052187332</v>
      </c>
      <c r="D14" s="21"/>
    </row>
    <row r="15" spans="1:8" x14ac:dyDescent="0.15">
      <c r="A15" s="10" t="s">
        <v>193</v>
      </c>
      <c r="B15" s="10" t="s">
        <v>194</v>
      </c>
      <c r="C15" s="6">
        <f>C12/SIN(C14/180*PI())</f>
        <v>139.7270447988729</v>
      </c>
      <c r="D15" s="21"/>
    </row>
    <row r="16" spans="1:8" x14ac:dyDescent="0.15">
      <c r="A16" s="10" t="s">
        <v>195</v>
      </c>
      <c r="B16" s="10" t="s">
        <v>196</v>
      </c>
      <c r="C16" s="6">
        <f>(C13/2-C15)*TAN(C14/180*PI())</f>
        <v>6.6973583307846134</v>
      </c>
      <c r="D16" s="21"/>
    </row>
    <row r="17" spans="1:7" x14ac:dyDescent="0.15">
      <c r="A17" s="10" t="s">
        <v>197</v>
      </c>
      <c r="B17" s="10" t="s">
        <v>198</v>
      </c>
      <c r="C17" s="6">
        <f>C12-C9/2*TAN(C10/180*PI())</f>
        <v>6.4000381258703811</v>
      </c>
      <c r="D17" s="21"/>
    </row>
    <row r="18" spans="1:7" x14ac:dyDescent="0.15">
      <c r="A18" s="10" t="s">
        <v>199</v>
      </c>
      <c r="B18" s="10" t="s">
        <v>200</v>
      </c>
      <c r="C18" s="6">
        <f>C17/SIN(C14/180*PI())</f>
        <v>96.034967882470127</v>
      </c>
      <c r="D18" s="21"/>
    </row>
    <row r="19" spans="1:7" x14ac:dyDescent="0.15">
      <c r="A19" s="10" t="s">
        <v>201</v>
      </c>
      <c r="B19" s="10" t="s">
        <v>202</v>
      </c>
      <c r="C19" s="6">
        <f>(C13/2-C18)*TAN(C14/180*PI())</f>
        <v>9.6156077704108132</v>
      </c>
      <c r="D19" s="21"/>
    </row>
    <row r="20" spans="1:7" ht="14.25" customHeight="1" x14ac:dyDescent="0.15">
      <c r="A20" s="10" t="s">
        <v>203</v>
      </c>
      <c r="B20" s="10" t="s">
        <v>204</v>
      </c>
      <c r="C20" s="6">
        <f>(ATAN((C9/2)/(C19-C16)))/PI()*180</f>
        <v>69.958982160365721</v>
      </c>
      <c r="D20" s="21"/>
    </row>
    <row r="21" spans="1:7" x14ac:dyDescent="0.15">
      <c r="A21" s="10" t="s">
        <v>205</v>
      </c>
      <c r="B21" s="10" t="s">
        <v>206</v>
      </c>
      <c r="C21" s="6">
        <f>C19/SIN((180-C20-C10)/180*PI())*SIN(C20/180*PI())</f>
        <v>9.0333612749011873</v>
      </c>
      <c r="D21" s="21"/>
    </row>
    <row r="22" spans="1:7" x14ac:dyDescent="0.15">
      <c r="A22" s="12" t="s">
        <v>207</v>
      </c>
      <c r="B22" s="12" t="s">
        <v>208</v>
      </c>
      <c r="C22" s="17">
        <f>C21+C17*COS(C10/180*PI())</f>
        <v>15.04742987453006</v>
      </c>
      <c r="D22" s="21"/>
    </row>
    <row r="23" spans="1:7" x14ac:dyDescent="0.15">
      <c r="A23" s="10" t="s">
        <v>195</v>
      </c>
      <c r="B23" s="10" t="s">
        <v>209</v>
      </c>
      <c r="C23" s="6">
        <f>(C8/2-C15)*TAN(C14/180*PI())</f>
        <v>3.3577946780773216</v>
      </c>
      <c r="D23" s="21"/>
    </row>
    <row r="24" spans="1:7" x14ac:dyDescent="0.15">
      <c r="A24" s="10" t="s">
        <v>201</v>
      </c>
      <c r="B24" s="10" t="s">
        <v>210</v>
      </c>
      <c r="C24" s="6">
        <f>(C8/2-C18)*TAN(C14/180*PI())</f>
        <v>6.2760441177035213</v>
      </c>
      <c r="D24" s="11" t="s">
        <v>211</v>
      </c>
      <c r="E24" s="11" t="s">
        <v>212</v>
      </c>
      <c r="G24" s="11" t="s">
        <v>213</v>
      </c>
    </row>
    <row r="25" spans="1:7" x14ac:dyDescent="0.15">
      <c r="A25" s="10" t="s">
        <v>203</v>
      </c>
      <c r="B25" s="10" t="s">
        <v>214</v>
      </c>
      <c r="C25" s="6">
        <f>(ATAN((C9/2)/(C24-C23)))/PI()*180</f>
        <v>69.958982160365721</v>
      </c>
      <c r="E25" s="11">
        <v>1</v>
      </c>
      <c r="G25" s="11">
        <v>0.6</v>
      </c>
    </row>
    <row r="26" spans="1:7" x14ac:dyDescent="0.15">
      <c r="A26" s="10" t="s">
        <v>205</v>
      </c>
      <c r="B26" s="10" t="s">
        <v>215</v>
      </c>
      <c r="C26" s="6">
        <f>C24/SIN((180-C25-C10)/180*PI())*SIN(C25/180*PI())</f>
        <v>5.8960156493583993</v>
      </c>
    </row>
    <row r="27" spans="1:7" x14ac:dyDescent="0.15">
      <c r="A27" s="12" t="s">
        <v>207</v>
      </c>
      <c r="B27" s="12" t="s">
        <v>216</v>
      </c>
      <c r="C27" s="17">
        <f>C26+C17*COS(C10/180*PI())</f>
        <v>11.910084248987271</v>
      </c>
    </row>
    <row r="28" spans="1:7" x14ac:dyDescent="0.15">
      <c r="A28" s="14" t="s">
        <v>217</v>
      </c>
      <c r="B28" s="14" t="s">
        <v>218</v>
      </c>
      <c r="C28" s="6">
        <f>C13-2*LOOKUP(C9,叶片数据输入!AB4:AB12,叶片数据输入!AO4:AO12)</f>
        <v>450</v>
      </c>
    </row>
    <row r="29" spans="1:7" x14ac:dyDescent="0.15">
      <c r="A29" s="14" t="s">
        <v>195</v>
      </c>
      <c r="B29" s="14" t="s">
        <v>219</v>
      </c>
      <c r="C29" s="6">
        <f>(C28/2-C15)*TAN(C14/180*PI())</f>
        <v>5.6954892349724258</v>
      </c>
    </row>
    <row r="30" spans="1:7" x14ac:dyDescent="0.15">
      <c r="A30" s="15" t="s">
        <v>220</v>
      </c>
      <c r="B30" s="15" t="s">
        <v>221</v>
      </c>
      <c r="C30" s="17">
        <f>90-ATAN(((C12-(C9-LOOKUP(C9,叶片数据输入!AB4:AB12,叶片数据输入!AM4:AM12))*TAN(C10/180*PI())+C29)/2-C29)/(C28/2))/PI()*180</f>
        <v>89.687854915530636</v>
      </c>
    </row>
    <row r="31" spans="1:7" x14ac:dyDescent="0.15">
      <c r="A31" s="14" t="s">
        <v>222</v>
      </c>
      <c r="B31" s="14"/>
      <c r="C31" s="6">
        <f>C8+2*C6</f>
        <v>390</v>
      </c>
    </row>
    <row r="32" spans="1:7" x14ac:dyDescent="0.15">
      <c r="A32" s="14" t="s">
        <v>223</v>
      </c>
      <c r="B32" s="14"/>
      <c r="C32" s="6">
        <f>(ATAN((INDEX(叶片数据输入!AB50:AI57,MATCH(C9,叶片数据输入!AB50:AB57),MATCH(C11,叶片数据输入!AB50:AI50))+E25)/(C31/2+5))+ATAN((INDEX(叶片数据输入!AB62:AI69,MATCH(C9,叶片数据输入!AB62:AB69),MATCH(C11,叶片数据输入!AB62:AI62))+G25)/(C31/2+5)))/PI()*180</f>
        <v>4.2256001599382573</v>
      </c>
    </row>
    <row r="33" spans="1:4" x14ac:dyDescent="0.15">
      <c r="A33" s="14" t="s">
        <v>224</v>
      </c>
      <c r="B33" s="14"/>
      <c r="C33" s="23">
        <f>(360-2*C32)/(C2-2)</f>
        <v>3.8211826052187332</v>
      </c>
    </row>
    <row r="34" spans="1:4" x14ac:dyDescent="0.15">
      <c r="A34" s="14" t="s">
        <v>225</v>
      </c>
      <c r="B34" s="14"/>
      <c r="C34" s="6">
        <f>360/C33</f>
        <v>94.211671409875677</v>
      </c>
    </row>
    <row r="35" spans="1:4" x14ac:dyDescent="0.15">
      <c r="A35" s="15" t="s">
        <v>226</v>
      </c>
      <c r="B35" s="1"/>
      <c r="C35" s="17">
        <f>C28/2-COS(ASIN((C12-(C9-LOOKUP(C9,叶片数据输入!AB4:AB12,叶片数据输入!AM4:AM12))*TAN(C10/180*PI()))/(C28/2+0.04))-(90-C30)/180*PI())*(C28/2+0.04)</f>
        <v>6.647509403433105E-2</v>
      </c>
    </row>
    <row r="36" spans="1:4" x14ac:dyDescent="0.15">
      <c r="A36" s="15" t="s">
        <v>227</v>
      </c>
      <c r="B36" s="1"/>
      <c r="C36" s="17">
        <f>C12*TAN((90-C30)/180*PI())-((C13/2-LOOKUP(C9,叶片数据输入!AB4:AB12,(叶片数据输入!AO4:AO12-叶片数据输入!AN4:AN12)))/COS((90-C30)/180*PI())-(C13/2-LOOKUP(C9,叶片数据输入!AB4:AB12,(叶片数据输入!AO4:AO12-叶片数据输入!AN4:AN12))))</f>
        <v>4.7258177233652464E-2</v>
      </c>
    </row>
    <row r="37" spans="1:4" x14ac:dyDescent="0.15">
      <c r="A37" s="15" t="s">
        <v>228</v>
      </c>
      <c r="C37" s="17">
        <f>5+G25+INDEX(叶片数据输入!AB62:AI69,MATCH(C9,叶片数据输入!AB62:AB69),MATCH(C11,叶片数据输入!AB62:AI62))+C12</f>
        <v>19.256799999999998</v>
      </c>
    </row>
    <row r="38" spans="1:4" x14ac:dyDescent="0.15">
      <c r="A38" s="15" t="s">
        <v>229</v>
      </c>
      <c r="C38" s="17">
        <f>(5+G25+INDEX(叶片数据输入!AB62:AI69,MATCH(C9,叶片数据输入!AB62:AB69),MATCH(C11,叶片数据输入!AB62:AI62)))/(5+C6+C8/2)*(C13/2)+C12</f>
        <v>21.245799999999999</v>
      </c>
    </row>
    <row r="39" spans="1:4" x14ac:dyDescent="0.15">
      <c r="A39" s="15" t="s">
        <v>230</v>
      </c>
      <c r="C39" s="17">
        <f>5+E25+INDEX(叶片数据输入!AB50:AI57,MATCH(C9,叶片数据输入!AB50:AB57),MATCH(C11,叶片数据输入!AB50:AI50))+C27/COS(C10/180*PI())-5+C9/2*TAN(C10/180*PI())</f>
        <v>25.400208800217335</v>
      </c>
    </row>
    <row r="40" spans="1:4" x14ac:dyDescent="0.15">
      <c r="A40" s="15" t="s">
        <v>231</v>
      </c>
      <c r="C40" s="17">
        <f>(5+E25+INDEX(叶片数据输入!AB50:AI57,MATCH(C9,叶片数据输入!AB50:AB57),MATCH(C11,叶片数据输入!AB50:AI50)))/(5+C6+C8/2)*(C13/2)-2.725</f>
        <v>15.051799999999998</v>
      </c>
    </row>
    <row r="41" spans="1:4" x14ac:dyDescent="0.15">
      <c r="A41" s="15" t="s">
        <v>232</v>
      </c>
      <c r="C41" s="17">
        <f>C36/C12*(C40+C12-C9*TAN(C10/180*PI()))</f>
        <v>9.4092464338816975E-2</v>
      </c>
    </row>
    <row r="43" spans="1:4" x14ac:dyDescent="0.15">
      <c r="A43" s="3" t="s">
        <v>233</v>
      </c>
    </row>
    <row r="44" spans="1:4" x14ac:dyDescent="0.15">
      <c r="A44" s="16" t="s">
        <v>234</v>
      </c>
      <c r="D44" s="18"/>
    </row>
    <row r="45" spans="1:4" x14ac:dyDescent="0.15">
      <c r="A45" s="12" t="s">
        <v>235</v>
      </c>
    </row>
    <row r="46" spans="1:4" x14ac:dyDescent="0.15">
      <c r="A46" s="8" t="s">
        <v>236</v>
      </c>
    </row>
    <row r="48" spans="1:4" x14ac:dyDescent="0.15">
      <c r="A48" s="25" t="s">
        <v>45</v>
      </c>
      <c r="B48" s="25">
        <f>叶片数据输入!B2</f>
        <v>1</v>
      </c>
    </row>
  </sheetData>
  <phoneticPr fontId="21" type="noConversion"/>
  <dataValidations count="3">
    <dataValidation type="list" allowBlank="1" showInputMessage="1" showErrorMessage="1" sqref="C9" xr:uid="{00000000-0002-0000-0200-000000000000}">
      <formula1>"12.5,16,20,25"</formula1>
    </dataValidation>
    <dataValidation type="list" allowBlank="1" showInputMessage="1" showErrorMessage="1" sqref="C10" xr:uid="{00000000-0002-0000-0200-000001000000}">
      <formula1>"20,22,24"</formula1>
    </dataValidation>
    <dataValidation type="list" allowBlank="1" showInputMessage="1" showErrorMessage="1" sqref="C11" xr:uid="{00000000-0002-0000-0200-000002000000}">
      <formula1>"54.7,56.7,58.7,60.7,62.7,64.7"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2"/>
  <sheetViews>
    <sheetView tabSelected="1" workbookViewId="0">
      <selection activeCell="B30" sqref="B30"/>
    </sheetView>
  </sheetViews>
  <sheetFormatPr defaultRowHeight="14.25" x14ac:dyDescent="0.15"/>
  <cols>
    <col min="1" max="3" width="15" customWidth="1"/>
    <col min="4" max="4" width="17.25" customWidth="1"/>
  </cols>
  <sheetData>
    <row r="1" spans="1:4" s="11" customFormat="1" x14ac:dyDescent="0.15">
      <c r="A1" s="8" t="s">
        <v>166</v>
      </c>
      <c r="B1" s="8" t="s">
        <v>167</v>
      </c>
      <c r="C1" s="8" t="s">
        <v>237</v>
      </c>
    </row>
    <row r="2" spans="1:4" x14ac:dyDescent="0.15">
      <c r="A2" s="3" t="s">
        <v>238</v>
      </c>
      <c r="B2" s="3" t="s">
        <v>170</v>
      </c>
      <c r="C2" s="3">
        <f>LOOKUP(B30,叶片数据输入!B4:B43,叶片数据输入!N4:N43)</f>
        <v>95</v>
      </c>
      <c r="D2" s="3"/>
    </row>
    <row r="3" spans="1:4" x14ac:dyDescent="0.15">
      <c r="A3" s="3" t="s">
        <v>179</v>
      </c>
      <c r="B3" s="3" t="s">
        <v>180</v>
      </c>
      <c r="C3" s="3">
        <f>LOOKUP(C5,叶片数据输入!AB4:AB12,叶片数据输入!AX4:AX12)+LOOKUP(C5,叶片数据输入!AB4:AB12,叶片数据输入!BH4:BH12)+LOOKUP(LOOKUP(B30,叶片数据输入!B4:B43,叶片数据输入!H4:H43),叶片数据输入!AB4:AB12,叶片数据输入!AS4:AS12)+LOOKUP(B30,叶片数据输入!B4:B43,叶片数据输入!M4:M43)+LOOKUP(B30,叶片数据输入!B4:B43,叶片数据输入!V4:V43)+0.5*((LOOKUP(B30,叶片数据输入!B4:B43,叶片数据输入!L4:L43)-LOOKUP(B30,叶片数据输入!B4:B43,叶片数据输入!M4:M43))-(LOOKUP(B30,叶片数据输入!B4:B43,叶片数据输入!D4:D43)-LOOKUP(B30,叶片数据输入!B4:B43,叶片数据输入!E4:E43)))</f>
        <v>56</v>
      </c>
      <c r="D3" s="3"/>
    </row>
    <row r="4" spans="1:4" x14ac:dyDescent="0.15">
      <c r="A4" s="3" t="s">
        <v>181</v>
      </c>
      <c r="B4" s="3" t="s">
        <v>182</v>
      </c>
      <c r="C4" s="3">
        <f>LOOKUP(B30,叶片数据输入!B4:B43,叶片数据输入!L4:L43)+LOOKUP(B30,叶片数据输入!B4:B43,叶片数据输入!M4:M43)+2*LOOKUP(C5,叶片数据输入!AB4:AB12,叶片数据输入!BH4:BH12)-2*C3</f>
        <v>334</v>
      </c>
      <c r="D4" s="3"/>
    </row>
    <row r="5" spans="1:4" x14ac:dyDescent="0.15">
      <c r="A5" s="3" t="s">
        <v>183</v>
      </c>
      <c r="B5" s="3" t="s">
        <v>184</v>
      </c>
      <c r="C5" s="16">
        <f>LOOKUP(B30,叶片数据输入!B4:B43,叶片数据输入!P4:P43)</f>
        <v>16</v>
      </c>
      <c r="D5" s="3"/>
    </row>
    <row r="6" spans="1:4" x14ac:dyDescent="0.15">
      <c r="A6" s="3" t="s">
        <v>117</v>
      </c>
      <c r="B6" s="3" t="s">
        <v>185</v>
      </c>
      <c r="C6" s="16">
        <f>LOOKUP(B30,叶片数据输入!B4:B43,叶片数据输入!R4:R43)</f>
        <v>20</v>
      </c>
      <c r="D6" s="3"/>
    </row>
    <row r="7" spans="1:4" x14ac:dyDescent="0.15">
      <c r="A7" s="8" t="s">
        <v>187</v>
      </c>
      <c r="B7" s="8" t="s">
        <v>188</v>
      </c>
      <c r="C7" s="8">
        <f>LOOKUP(C5,叶片数据输入!AB4:AB10,叶片数据输入!AG4:AG10)</f>
        <v>9.3117999999999999</v>
      </c>
      <c r="D7" s="3"/>
    </row>
    <row r="8" spans="1:4" ht="14.25" customHeight="1" x14ac:dyDescent="0.15">
      <c r="A8" s="8" t="s">
        <v>189</v>
      </c>
      <c r="B8" s="8" t="s">
        <v>190</v>
      </c>
      <c r="C8" s="6">
        <f>C4+2*C3</f>
        <v>446</v>
      </c>
      <c r="D8" s="6"/>
    </row>
    <row r="9" spans="1:4" ht="14.25" customHeight="1" x14ac:dyDescent="0.15">
      <c r="A9" s="9" t="s">
        <v>191</v>
      </c>
      <c r="B9" s="9" t="s">
        <v>192</v>
      </c>
      <c r="C9" s="6">
        <f>360/C2</f>
        <v>3.7894736842105261</v>
      </c>
      <c r="D9" s="6"/>
    </row>
    <row r="10" spans="1:4" ht="14.25" customHeight="1" x14ac:dyDescent="0.15">
      <c r="A10" s="10" t="s">
        <v>193</v>
      </c>
      <c r="B10" s="10" t="s">
        <v>194</v>
      </c>
      <c r="C10" s="6">
        <f>C7/SIN(C9/180*PI())</f>
        <v>140.89450252263984</v>
      </c>
      <c r="D10" s="6"/>
    </row>
    <row r="11" spans="1:4" ht="14.25" customHeight="1" x14ac:dyDescent="0.15">
      <c r="A11" s="10" t="s">
        <v>195</v>
      </c>
      <c r="B11" s="10" t="s">
        <v>196</v>
      </c>
      <c r="C11" s="6">
        <f>(C8/2-C10)*TAN(C9/180*PI())</f>
        <v>5.4382904348140499</v>
      </c>
      <c r="D11" s="6"/>
    </row>
    <row r="12" spans="1:4" ht="14.25" customHeight="1" x14ac:dyDescent="0.15">
      <c r="A12" s="10" t="s">
        <v>197</v>
      </c>
      <c r="B12" s="10" t="s">
        <v>198</v>
      </c>
      <c r="C12" s="6">
        <f>C7-C5/2*TAN(C6/180*PI())</f>
        <v>6.4000381258703811</v>
      </c>
      <c r="D12" s="6"/>
    </row>
    <row r="13" spans="1:4" ht="14.25" customHeight="1" x14ac:dyDescent="0.15">
      <c r="A13" s="10" t="s">
        <v>199</v>
      </c>
      <c r="B13" s="10" t="s">
        <v>200</v>
      </c>
      <c r="C13" s="6">
        <f>C12/SIN(C9/180*PI())</f>
        <v>96.837366338456107</v>
      </c>
      <c r="D13" s="6"/>
    </row>
    <row r="14" spans="1:4" ht="14.25" customHeight="1" x14ac:dyDescent="0.15">
      <c r="A14" s="10" t="s">
        <v>201</v>
      </c>
      <c r="B14" s="10" t="s">
        <v>202</v>
      </c>
      <c r="C14" s="6">
        <f>(C8/2-C13)*TAN(C9/180*PI())</f>
        <v>8.3564324552288536</v>
      </c>
      <c r="D14" s="6"/>
    </row>
    <row r="15" spans="1:4" ht="14.25" customHeight="1" x14ac:dyDescent="0.15">
      <c r="A15" s="10" t="s">
        <v>203</v>
      </c>
      <c r="B15" s="10" t="s">
        <v>204</v>
      </c>
      <c r="C15" s="6">
        <f>(ATAN((C5/2)/(C14-C11)))/PI()*180</f>
        <v>69.959661147491047</v>
      </c>
      <c r="D15" s="6"/>
    </row>
    <row r="16" spans="1:4" ht="14.25" customHeight="1" x14ac:dyDescent="0.15">
      <c r="A16" s="10" t="s">
        <v>205</v>
      </c>
      <c r="B16" s="10" t="s">
        <v>206</v>
      </c>
      <c r="C16" s="6">
        <f>C14/SIN((180-C15-C6)/180*PI())*SIN(C15/180*PI())</f>
        <v>7.8504657030320031</v>
      </c>
      <c r="D16" s="6"/>
    </row>
    <row r="17" spans="1:4" x14ac:dyDescent="0.15">
      <c r="A17" s="12" t="s">
        <v>207</v>
      </c>
      <c r="B17" s="12" t="s">
        <v>208</v>
      </c>
      <c r="C17" s="13">
        <f>C16+C12*COS(C6/180*PI())</f>
        <v>13.864534302660875</v>
      </c>
      <c r="D17" s="6"/>
    </row>
    <row r="18" spans="1:4" ht="14.25" customHeight="1" x14ac:dyDescent="0.15">
      <c r="A18" s="10" t="s">
        <v>195</v>
      </c>
      <c r="B18" s="10" t="s">
        <v>209</v>
      </c>
      <c r="C18" s="6">
        <f>(C4/2-C10)*TAN(C9/180*PI())</f>
        <v>1.72910805718383</v>
      </c>
      <c r="D18" s="7"/>
    </row>
    <row r="19" spans="1:4" ht="14.25" customHeight="1" x14ac:dyDescent="0.15">
      <c r="A19" s="10" t="s">
        <v>201</v>
      </c>
      <c r="B19" s="10" t="s">
        <v>210</v>
      </c>
      <c r="C19" s="6">
        <f>(C4/2-C13)*TAN(C9/180*PI())</f>
        <v>4.6472500775986338</v>
      </c>
      <c r="D19" s="7"/>
    </row>
    <row r="20" spans="1:4" ht="14.25" customHeight="1" x14ac:dyDescent="0.15">
      <c r="A20" s="10" t="s">
        <v>203</v>
      </c>
      <c r="B20" s="10" t="s">
        <v>214</v>
      </c>
      <c r="C20" s="6">
        <f>(ATAN((C5/2)/(C19-C18)))/PI()*180</f>
        <v>69.959661147491047</v>
      </c>
      <c r="D20" s="7"/>
    </row>
    <row r="21" spans="1:4" ht="14.25" customHeight="1" x14ac:dyDescent="0.15">
      <c r="A21" s="10" t="s">
        <v>205</v>
      </c>
      <c r="B21" s="10" t="s">
        <v>215</v>
      </c>
      <c r="C21" s="6">
        <f>C19/SIN((180-C20-C6)/180*PI())*SIN(C20/180*PI())</f>
        <v>4.3658675568869585</v>
      </c>
      <c r="D21" s="7"/>
    </row>
    <row r="22" spans="1:4" x14ac:dyDescent="0.15">
      <c r="A22" s="12" t="s">
        <v>207</v>
      </c>
      <c r="B22" s="12" t="s">
        <v>216</v>
      </c>
      <c r="C22" s="13">
        <f>C21+C12*COS(C6/180*PI())</f>
        <v>10.37993615651583</v>
      </c>
      <c r="D22" s="7"/>
    </row>
    <row r="23" spans="1:4" x14ac:dyDescent="0.15">
      <c r="A23" s="8" t="s">
        <v>52</v>
      </c>
      <c r="B23" s="8" t="s">
        <v>186</v>
      </c>
      <c r="C23" s="77">
        <f>LOOKUP(B30,叶片数据输入!B4:B43,叶片数据输入!Q4:Q43)</f>
        <v>58.7</v>
      </c>
    </row>
    <row r="24" spans="1:4" x14ac:dyDescent="0.15">
      <c r="A24" s="5"/>
      <c r="B24" s="5"/>
      <c r="C24" s="5"/>
    </row>
    <row r="25" spans="1:4" x14ac:dyDescent="0.15">
      <c r="A25" s="3" t="s">
        <v>233</v>
      </c>
      <c r="B25" s="5"/>
      <c r="C25" s="5"/>
    </row>
    <row r="26" spans="1:4" x14ac:dyDescent="0.15">
      <c r="A26" s="16" t="s">
        <v>234</v>
      </c>
      <c r="B26" s="4"/>
      <c r="C26" s="4"/>
    </row>
    <row r="27" spans="1:4" x14ac:dyDescent="0.15">
      <c r="A27" s="12" t="s">
        <v>235</v>
      </c>
      <c r="B27" s="4"/>
      <c r="C27" s="4"/>
    </row>
    <row r="28" spans="1:4" x14ac:dyDescent="0.15">
      <c r="A28" s="8" t="s">
        <v>236</v>
      </c>
      <c r="B28" s="2"/>
      <c r="C28" s="2"/>
    </row>
    <row r="29" spans="1:4" x14ac:dyDescent="0.15">
      <c r="A29" s="2"/>
      <c r="B29" s="2"/>
      <c r="C29" s="2"/>
    </row>
    <row r="30" spans="1:4" x14ac:dyDescent="0.15">
      <c r="A30" s="25" t="s">
        <v>45</v>
      </c>
      <c r="B30" s="25">
        <f>叶片数据输入!B2</f>
        <v>1</v>
      </c>
      <c r="C30" s="2"/>
    </row>
    <row r="31" spans="1:4" x14ac:dyDescent="0.15">
      <c r="A31" s="1"/>
      <c r="B31" s="1"/>
      <c r="C31" s="1"/>
    </row>
    <row r="32" spans="1:4" x14ac:dyDescent="0.15">
      <c r="A32" s="1"/>
      <c r="B32" s="1"/>
      <c r="C32" s="1"/>
    </row>
  </sheetData>
  <phoneticPr fontId="21" type="noConversion"/>
  <dataValidations count="4">
    <dataValidation type="list" allowBlank="1" showInputMessage="1" showErrorMessage="1" sqref="C6" xr:uid="{00000000-0002-0000-0300-000000000000}">
      <formula1>"20,22,24"</formula1>
    </dataValidation>
    <dataValidation type="list" allowBlank="1" showInputMessage="1" showErrorMessage="1" sqref="D6" xr:uid="{00000000-0002-0000-0300-000001000000}">
      <formula1>"14,16,18,20,22,24"</formula1>
    </dataValidation>
    <dataValidation type="list" allowBlank="1" showInputMessage="1" showErrorMessage="1" sqref="D5" xr:uid="{00000000-0002-0000-0300-000002000000}">
      <formula1>"12.5,16,20"</formula1>
    </dataValidation>
    <dataValidation type="list" allowBlank="1" showInputMessage="1" showErrorMessage="1" sqref="C5" xr:uid="{00000000-0002-0000-0300-000003000000}">
      <formula1>"12.5,16,20,25"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9"/>
  <sheetViews>
    <sheetView topLeftCell="B10" workbookViewId="0">
      <selection activeCell="C37" sqref="C37"/>
    </sheetView>
  </sheetViews>
  <sheetFormatPr defaultRowHeight="14.25" x14ac:dyDescent="0.15"/>
  <cols>
    <col min="1" max="1" width="7.25" hidden="1" customWidth="1"/>
    <col min="2" max="2" width="11.625" customWidth="1"/>
    <col min="3" max="3" width="30" style="20" customWidth="1"/>
  </cols>
  <sheetData>
    <row r="1" spans="1:5" x14ac:dyDescent="0.15">
      <c r="A1" s="88" t="s">
        <v>45</v>
      </c>
      <c r="B1" s="207" t="str">
        <f>LOOKUP(A2,叶片数据输入!B4:B31,叶片数据输入!A4:A31)&amp;"导叶片"</f>
        <v>压力级1导叶片</v>
      </c>
      <c r="C1" s="200"/>
    </row>
    <row r="2" spans="1:5" x14ac:dyDescent="0.15">
      <c r="A2" s="98">
        <f>导叶计算过程!B48</f>
        <v>1</v>
      </c>
      <c r="B2" s="87"/>
      <c r="C2" s="89" t="s">
        <v>239</v>
      </c>
      <c r="D2" s="1"/>
      <c r="E2" s="26"/>
    </row>
    <row r="3" spans="1:5" x14ac:dyDescent="0.15">
      <c r="B3" s="38" t="s">
        <v>240</v>
      </c>
      <c r="C3" s="33" t="str">
        <f>LOOKUP(A2,叶片数据输入!B4:B43,叶片数据输入!G4:G43)&amp;"±0.1"</f>
        <v>20±0.1</v>
      </c>
    </row>
    <row r="4" spans="1:5" x14ac:dyDescent="0.15">
      <c r="B4" s="62" t="s">
        <v>241</v>
      </c>
      <c r="C4" s="34">
        <f>LOOKUP(导叶计算过程!C9,叶片数据输入!AB4:AB12,叶片数据输入!AM4:AM12)</f>
        <v>12.8</v>
      </c>
    </row>
    <row r="5" spans="1:5" x14ac:dyDescent="0.15">
      <c r="B5" s="62" t="s">
        <v>242</v>
      </c>
      <c r="C5" s="34">
        <f>LOOKUP(导叶计算过程!C9,叶片数据输入!AB4:AB12,叶片数据输入!AP4:AP12)</f>
        <v>17.5</v>
      </c>
    </row>
    <row r="6" spans="1:5" x14ac:dyDescent="0.15">
      <c r="B6" s="62" t="s">
        <v>174</v>
      </c>
      <c r="C6" s="34" t="str">
        <f>导叶计算过程!C7&amp;"±0.2"</f>
        <v>50±0.2</v>
      </c>
    </row>
    <row r="7" spans="1:5" x14ac:dyDescent="0.15">
      <c r="B7" s="62" t="s">
        <v>243</v>
      </c>
      <c r="C7" s="34">
        <f>LOOKUP(导叶计算过程!C9,叶片数据输入!AB4:AB12,叶片数据输入!AQ4:AQ12)</f>
        <v>17.5</v>
      </c>
    </row>
    <row r="8" spans="1:5" x14ac:dyDescent="0.15">
      <c r="B8" s="62" t="s">
        <v>244</v>
      </c>
      <c r="C8" s="34" t="str">
        <f>导叶计算过程!C5&amp;"±0.2"</f>
        <v>25±0.2</v>
      </c>
    </row>
    <row r="9" spans="1:5" x14ac:dyDescent="0.15">
      <c r="B9" s="62" t="s">
        <v>245</v>
      </c>
      <c r="C9" s="34" t="str">
        <f>导叶计算过程!C4&amp;"±0.1"</f>
        <v>20±0.1</v>
      </c>
    </row>
    <row r="10" spans="1:5" x14ac:dyDescent="0.15">
      <c r="B10" s="39" t="s">
        <v>184</v>
      </c>
      <c r="C10" s="34">
        <f>导叶计算过程!C9</f>
        <v>16</v>
      </c>
    </row>
    <row r="11" spans="1:5" x14ac:dyDescent="0.15">
      <c r="B11" s="39" t="s">
        <v>246</v>
      </c>
      <c r="C11" s="34" t="str">
        <f>"(%%C"&amp;导叶计算过程!C8&amp;")"</f>
        <v>(%%C380)</v>
      </c>
    </row>
    <row r="12" spans="1:5" x14ac:dyDescent="0.15">
      <c r="B12" s="62" t="s">
        <v>247</v>
      </c>
      <c r="C12" s="34">
        <f>INDEX(叶片数据输入!AB15:AI22,MATCH(导叶计算过程!C9,叶片数据输入!AB15:AB22),MATCH(导叶计算过程!C11,叶片数据输入!AB15:AI15))</f>
        <v>13.5</v>
      </c>
    </row>
    <row r="13" spans="1:5" x14ac:dyDescent="0.15">
      <c r="B13" s="62" t="s">
        <v>248</v>
      </c>
      <c r="C13" s="34">
        <f>LOOKUP(导叶计算过程!C9,叶片数据输入!AB4:AB12,叶片数据输入!AL4:AL12)</f>
        <v>1</v>
      </c>
    </row>
    <row r="14" spans="1:5" x14ac:dyDescent="0.15">
      <c r="B14" s="62" t="s">
        <v>249</v>
      </c>
      <c r="C14" s="34" t="str">
        <f>"R"&amp;LOOKUP(导叶计算过程!C9,叶片数据输入!AB4:AB12,叶片数据输入!AT4:AT12)</f>
        <v>R2</v>
      </c>
    </row>
    <row r="15" spans="1:5" x14ac:dyDescent="0.15">
      <c r="B15" s="62" t="s">
        <v>250</v>
      </c>
      <c r="C15" s="34" t="str">
        <f>"R"&amp;LOOKUP(导叶计算过程!C9,叶片数据输入!AB4:AB12,叶片数据输入!AU4:AU12)</f>
        <v>R2</v>
      </c>
    </row>
    <row r="16" spans="1:5" x14ac:dyDescent="0.15">
      <c r="B16" s="62" t="s">
        <v>251</v>
      </c>
      <c r="C16" s="34" t="str">
        <f>"R"&amp;LOOKUP(导叶计算过程!C9,叶片数据输入!AB4:AB12,叶片数据输入!AV4:AV12)</f>
        <v>R1</v>
      </c>
    </row>
    <row r="17" spans="2:3" x14ac:dyDescent="0.15">
      <c r="B17" s="62" t="s">
        <v>252</v>
      </c>
      <c r="C17" s="34" t="str">
        <f>ROUND(导叶计算过程!C30,2)&amp;"±0.15°"</f>
        <v>89.69±0.15°</v>
      </c>
    </row>
    <row r="18" spans="2:3" x14ac:dyDescent="0.15">
      <c r="B18" s="39" t="s">
        <v>253</v>
      </c>
      <c r="C18" s="34">
        <f>LOOKUP(导叶计算过程!C9,叶片数据输入!AB4:AB12,叶片数据输入!AO4:AO12)-LOOKUP(导叶计算过程!C9,叶片数据输入!AB4:AB12,叶片数据输入!AN4:AN12)+ROUND(导叶计算过程!C36,2)</f>
        <v>6.05</v>
      </c>
    </row>
    <row r="19" spans="2:3" x14ac:dyDescent="0.15">
      <c r="B19" s="62" t="s">
        <v>254</v>
      </c>
      <c r="C19" s="34">
        <f>LOOKUP(导叶计算过程!C9,叶片数据输入!AB4:AB12,叶片数据输入!AN4:AN12)+ROUND(导叶计算过程!C35,2)</f>
        <v>9.07</v>
      </c>
    </row>
    <row r="20" spans="2:3" x14ac:dyDescent="0.15">
      <c r="B20" s="62" t="s">
        <v>255</v>
      </c>
      <c r="C20" s="34" t="str">
        <f>"R"&amp;LOOKUP(导叶计算过程!C9,叶片数据输入!AB4:AB12,叶片数据输入!AH4:AH12)</f>
        <v>R2</v>
      </c>
    </row>
    <row r="21" spans="2:3" x14ac:dyDescent="0.15">
      <c r="B21" s="39" t="s">
        <v>256</v>
      </c>
      <c r="C21" s="34" t="str">
        <f>"R"&amp;LOOKUP(导叶计算过程!C9,叶片数据输入!AB4:AB12,叶片数据输入!AI4:AI12)</f>
        <v>R2</v>
      </c>
    </row>
    <row r="22" spans="2:3" x14ac:dyDescent="0.15">
      <c r="B22" s="39" t="s">
        <v>257</v>
      </c>
      <c r="C22" s="34" t="str">
        <f>"R"&amp;LOOKUP(导叶计算过程!C9,叶片数据输入!AB4:AB12,叶片数据输入!AJ4:AJ12)</f>
        <v>R2</v>
      </c>
    </row>
    <row r="23" spans="2:3" x14ac:dyDescent="0.15">
      <c r="B23" s="39" t="s">
        <v>258</v>
      </c>
      <c r="C23" s="34" t="str">
        <f>"R"&amp;LOOKUP(导叶计算过程!C9,叶片数据输入!AB4:AB12,叶片数据输入!AK4:AK12)</f>
        <v>R2</v>
      </c>
    </row>
    <row r="24" spans="2:3" x14ac:dyDescent="0.15">
      <c r="B24" s="62" t="s">
        <v>259</v>
      </c>
      <c r="C24" s="34" t="str">
        <f>IF(导叶计算过程!C10=20,INDEX(叶片数据输入!AL15:AS24,MATCH(导叶计算过程!C9,叶片数据输入!AL15:AL24),MATCH(导叶计算过程!C11,叶片数据输入!AL15:AS15)),IF(导叶计算过程!C10=22,INDEX(叶片数据输入!AL25:AS34,MATCH(导叶计算过程!C9,叶片数据输入!AL25:AL34),MATCH(导叶计算过程!C11,叶片数据输入!AL25:AS25)),INDEX(叶片数据输入!AL35:AS44,MATCH(导叶计算过程!C9,叶片数据输入!AL35:AL44),MATCH(导叶计算过程!C11,叶片数据输入!AL35:AS35))))&amp;"±0.1"</f>
        <v>10±0.1</v>
      </c>
    </row>
    <row r="25" spans="2:3" x14ac:dyDescent="0.15">
      <c r="B25" s="62" t="s">
        <v>260</v>
      </c>
      <c r="C25" s="34" t="str">
        <f>"("&amp;IF(导叶计算过程!C10=20,INDEX(叶片数据输入!AT15:BA24,MATCH(导叶计算过程!C9,叶片数据输入!AT15:AT24),MATCH(导叶计算过程!C11,叶片数据输入!AT15:BA15)),IF(导叶计算过程!C10=22,INDEX(叶片数据输入!AT25:BA34,MATCH(导叶计算过程!C9,叶片数据输入!AT25:AT34),MATCH(导叶计算过程!C11,叶片数据输入!AT25:BA25)),INDEX(叶片数据输入!AT35:BA44,MATCH(导叶计算过程!C9,叶片数据输入!AT35:AT44),MATCH(导叶计算过程!C11,叶片数据输入!AT35:BA35))))&amp;")"</f>
        <v>(4.65)</v>
      </c>
    </row>
    <row r="26" spans="2:3" x14ac:dyDescent="0.15">
      <c r="B26" s="62" t="s">
        <v>53</v>
      </c>
      <c r="C26" s="34" t="str">
        <f>导叶计算过程!C10&amp;"°"</f>
        <v>20°</v>
      </c>
    </row>
    <row r="27" spans="2:3" x14ac:dyDescent="0.15">
      <c r="B27" s="39" t="s">
        <v>188</v>
      </c>
      <c r="C27" s="35">
        <f>ROUND(导叶计算过程!C12,2)</f>
        <v>9.31</v>
      </c>
    </row>
    <row r="28" spans="2:3" x14ac:dyDescent="0.15">
      <c r="B28" s="39" t="s">
        <v>216</v>
      </c>
      <c r="C28" s="34" t="str">
        <f>ROUND(导叶计算过程!C27,2)&amp;"±0.05"</f>
        <v>11.91±0.05</v>
      </c>
    </row>
    <row r="29" spans="2:3" x14ac:dyDescent="0.15">
      <c r="B29" s="39" t="s">
        <v>208</v>
      </c>
      <c r="C29" s="34" t="str">
        <f>ROUND(导叶计算过程!C22,2)&amp;"±0.05"</f>
        <v>15.05±0.05</v>
      </c>
    </row>
    <row r="30" spans="2:3" x14ac:dyDescent="0.15">
      <c r="B30" s="62" t="s">
        <v>261</v>
      </c>
      <c r="C30" s="34">
        <f>LOOKUP(导叶计算过程!C9,叶片数据输入!AB4:AB12,叶片数据输入!AF4:AF12)</f>
        <v>0.05</v>
      </c>
    </row>
    <row r="31" spans="2:3" x14ac:dyDescent="0.15">
      <c r="B31" s="62" t="s">
        <v>262</v>
      </c>
      <c r="C31" s="34">
        <f>LOOKUP(导叶计算过程!C9,叶片数据输入!AB4:AB12,叶片数据输入!AF4:AF12)</f>
        <v>0.05</v>
      </c>
    </row>
    <row r="32" spans="2:3" x14ac:dyDescent="0.15">
      <c r="B32" s="39" t="s">
        <v>180</v>
      </c>
      <c r="C32" s="34">
        <f>LOOKUP(导叶计算过程!C9,叶片数据输入!AB4:AB12,叶片数据输入!AD4:AD12)</f>
        <v>16.91</v>
      </c>
    </row>
    <row r="33" spans="2:3" x14ac:dyDescent="0.15">
      <c r="B33" s="39" t="s">
        <v>263</v>
      </c>
      <c r="C33" s="34" t="str">
        <f>导叶计算过程!C11&amp;"°"</f>
        <v>54.7°</v>
      </c>
    </row>
    <row r="34" spans="2:3" x14ac:dyDescent="0.15">
      <c r="B34" s="39" t="s">
        <v>264</v>
      </c>
      <c r="C34" s="34" t="str">
        <f>LOOKUP(导叶计算过程!C9,叶片数据输入!AB4:AB12,叶片数据输入!AE4:AE12)&amp;"±0.1"</f>
        <v>5.39±0.1</v>
      </c>
    </row>
    <row r="35" spans="2:3" x14ac:dyDescent="0.15">
      <c r="B35" s="39" t="s">
        <v>265</v>
      </c>
      <c r="C35" s="34" t="str">
        <f>LOOKUP(导叶计算过程!C9,叶片数据输入!AB4:AB12,叶片数据输入!AC4:AC12)</f>
        <v>HS43024.05.06.50(JQF1-16)</v>
      </c>
    </row>
    <row r="36" spans="2:3" x14ac:dyDescent="0.15">
      <c r="B36" s="39" t="s">
        <v>266</v>
      </c>
      <c r="C36" s="34">
        <f>LOOKUP(A2,叶片数据输入!B4:B43,叶片数据输入!F4:F43)-4</f>
        <v>90</v>
      </c>
    </row>
    <row r="37" spans="2:3" x14ac:dyDescent="0.15">
      <c r="B37" s="39" t="s">
        <v>267</v>
      </c>
      <c r="C37" s="36">
        <f>ROUND(C36*0.1,0)</f>
        <v>9</v>
      </c>
    </row>
    <row r="38" spans="2:3" x14ac:dyDescent="0.15">
      <c r="B38" s="39" t="s">
        <v>268</v>
      </c>
      <c r="C38" s="34" t="str">
        <f>ROUND(导叶计算过程!C22,2)&amp;"+0.3"</f>
        <v>15.05+0.3</v>
      </c>
    </row>
    <row r="39" spans="2:3" x14ac:dyDescent="0.15">
      <c r="B39" s="40" t="s">
        <v>269</v>
      </c>
      <c r="C39" s="37" t="str">
        <f>ROUND(导叶计算过程!C27,2)&amp;"+0.3"</f>
        <v>11.91+0.3</v>
      </c>
    </row>
  </sheetData>
  <mergeCells count="1">
    <mergeCell ref="B1:C1"/>
  </mergeCells>
  <phoneticPr fontId="2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6"/>
  <sheetViews>
    <sheetView topLeftCell="B1" workbookViewId="0">
      <selection activeCell="C33" sqref="C33"/>
    </sheetView>
  </sheetViews>
  <sheetFormatPr defaultRowHeight="14.25" x14ac:dyDescent="0.15"/>
  <cols>
    <col min="1" max="1" width="9.125" hidden="1" customWidth="1"/>
    <col min="2" max="2" width="11.625" customWidth="1"/>
    <col min="3" max="3" width="30" style="20" customWidth="1"/>
  </cols>
  <sheetData>
    <row r="1" spans="1:5" x14ac:dyDescent="0.15">
      <c r="A1" s="88" t="s">
        <v>45</v>
      </c>
      <c r="B1" s="207" t="str">
        <f>LOOKUP(A2,叶片数据输入!B4:B31,叶片数据输入!A4:A31)&amp;"首导叶"</f>
        <v>压力级1首导叶</v>
      </c>
      <c r="C1" s="200"/>
    </row>
    <row r="2" spans="1:5" x14ac:dyDescent="0.15">
      <c r="A2" s="98">
        <f>导叶绘图表!A2</f>
        <v>1</v>
      </c>
      <c r="B2" s="99"/>
      <c r="C2" s="89" t="s">
        <v>239</v>
      </c>
      <c r="D2" s="1"/>
      <c r="E2" s="26"/>
    </row>
    <row r="3" spans="1:5" x14ac:dyDescent="0.15">
      <c r="B3" s="38" t="s">
        <v>270</v>
      </c>
      <c r="C3" s="58">
        <f>ROUND(导叶计算过程!C37,2)</f>
        <v>19.260000000000002</v>
      </c>
    </row>
    <row r="4" spans="1:5" x14ac:dyDescent="0.15">
      <c r="A4" s="24"/>
      <c r="B4" s="62" t="s">
        <v>271</v>
      </c>
      <c r="C4" s="59">
        <f>ROUND(导叶计算过程!C38,2)</f>
        <v>21.25</v>
      </c>
    </row>
    <row r="5" spans="1:5" x14ac:dyDescent="0.15">
      <c r="A5" s="217"/>
      <c r="B5" s="39" t="s">
        <v>265</v>
      </c>
      <c r="C5" s="59" t="str">
        <f>LOOKUP(导叶计算过程!C9,叶片数据输入!AB4:AB12,叶片数据输入!AC4:AC12)</f>
        <v>HS43024.05.06.50(JQF1-16)</v>
      </c>
    </row>
    <row r="6" spans="1:5" x14ac:dyDescent="0.15">
      <c r="A6" s="218"/>
      <c r="B6" s="62" t="s">
        <v>272</v>
      </c>
      <c r="C6" s="59" t="str">
        <f>LOOKUP(导叶计算过程!C9,叶片数据输入!AB4:AB12,叶片数据输入!AE4:AE12)&amp;"±0.1"</f>
        <v>5.39±0.1</v>
      </c>
    </row>
    <row r="7" spans="1:5" x14ac:dyDescent="0.15">
      <c r="A7" s="24"/>
      <c r="B7" s="39" t="s">
        <v>263</v>
      </c>
      <c r="C7" s="59" t="str">
        <f>导叶计算过程!C11&amp;"°"</f>
        <v>54.7°</v>
      </c>
    </row>
    <row r="8" spans="1:5" x14ac:dyDescent="0.15">
      <c r="A8" s="24"/>
      <c r="B8" s="39" t="s">
        <v>180</v>
      </c>
      <c r="C8" s="59">
        <f>LOOKUP(导叶计算过程!C9,叶片数据输入!AB4:AB12,叶片数据输入!AD4:AD12)</f>
        <v>16.91</v>
      </c>
    </row>
    <row r="9" spans="1:5" x14ac:dyDescent="0.15">
      <c r="A9" s="24"/>
      <c r="B9" s="62" t="s">
        <v>262</v>
      </c>
      <c r="C9" s="59">
        <f>LOOKUP(导叶计算过程!C9,叶片数据输入!AB4:AB12,叶片数据输入!AF4:AF12)</f>
        <v>0.05</v>
      </c>
    </row>
    <row r="10" spans="1:5" x14ac:dyDescent="0.15">
      <c r="A10" s="24"/>
      <c r="B10" s="62" t="s">
        <v>261</v>
      </c>
      <c r="C10" s="59">
        <f>LOOKUP(导叶计算过程!C9,叶片数据输入!AB4:AB12,叶片数据输入!AF4:AF12)</f>
        <v>0.05</v>
      </c>
    </row>
    <row r="11" spans="1:5" x14ac:dyDescent="0.15">
      <c r="A11" s="24"/>
      <c r="B11" s="39" t="s">
        <v>188</v>
      </c>
      <c r="C11" s="60">
        <f>ROUND(导叶计算过程!C12,2)</f>
        <v>9.31</v>
      </c>
    </row>
    <row r="12" spans="1:5" x14ac:dyDescent="0.15">
      <c r="A12" s="24"/>
      <c r="B12" s="62" t="s">
        <v>53</v>
      </c>
      <c r="C12" s="59" t="str">
        <f>导叶计算过程!C10&amp;"°"</f>
        <v>20°</v>
      </c>
    </row>
    <row r="13" spans="1:5" x14ac:dyDescent="0.15">
      <c r="A13" s="24"/>
      <c r="B13" s="62" t="s">
        <v>260</v>
      </c>
      <c r="C13" s="59" t="str">
        <f>"("&amp;IF(导叶计算过程!C10=20,INDEX(叶片数据输入!AT15:BA24,MATCH(导叶计算过程!C9,叶片数据输入!AT15:AT24),MATCH(导叶计算过程!C11,叶片数据输入!AT15:BA15)),IF(导叶计算过程!C10=22,INDEX(叶片数据输入!AT25:BA34,MATCH(导叶计算过程!C9,叶片数据输入!AT25:AT34),MATCH(导叶计算过程!C11,叶片数据输入!AT25:BA25)),INDEX(叶片数据输入!AT35:BA44,MATCH(导叶计算过程!C9,叶片数据输入!AT35:AT44),MATCH(导叶计算过程!C11,叶片数据输入!AT35:BA35))))&amp;")"</f>
        <v>(4.65)</v>
      </c>
    </row>
    <row r="14" spans="1:5" x14ac:dyDescent="0.15">
      <c r="A14" s="24"/>
      <c r="B14" s="62" t="s">
        <v>259</v>
      </c>
      <c r="C14" s="59" t="str">
        <f>IF(导叶计算过程!C10=20,INDEX(叶片数据输入!AL15:AS24,MATCH(导叶计算过程!C9,叶片数据输入!AL15:AL24),MATCH(导叶计算过程!C11,叶片数据输入!AL15:AS15)),IF(导叶计算过程!C10=22,INDEX(叶片数据输入!AL25:AS34,MATCH(导叶计算过程!C9,叶片数据输入!AL25:AL34),MATCH(导叶计算过程!C11,叶片数据输入!AL25:AS25)),INDEX(叶片数据输入!AL35:AS44,MATCH(导叶计算过程!C9,叶片数据输入!AL35:AL44),MATCH(导叶计算过程!C11,叶片数据输入!AL35:AS35))))&amp;"±0.1"</f>
        <v>10±0.1</v>
      </c>
    </row>
    <row r="15" spans="1:5" x14ac:dyDescent="0.15">
      <c r="A15" s="24"/>
      <c r="B15" s="62" t="s">
        <v>258</v>
      </c>
      <c r="C15" s="59" t="str">
        <f>"R"&amp;LOOKUP(导叶计算过程!C9,叶片数据输入!AB4:AB12,叶片数据输入!AK4:AK12)</f>
        <v>R2</v>
      </c>
    </row>
    <row r="16" spans="1:5" x14ac:dyDescent="0.15">
      <c r="A16" s="24"/>
      <c r="B16" s="62" t="s">
        <v>257</v>
      </c>
      <c r="C16" s="59" t="str">
        <f>"R"&amp;LOOKUP(导叶计算过程!C9,叶片数据输入!AB4:AB12,叶片数据输入!AJ4:AJ12)</f>
        <v>R2</v>
      </c>
    </row>
    <row r="17" spans="1:3" x14ac:dyDescent="0.15">
      <c r="A17" s="24"/>
      <c r="B17" s="62" t="s">
        <v>256</v>
      </c>
      <c r="C17" s="59" t="str">
        <f>"R"&amp;LOOKUP(导叶计算过程!C9,叶片数据输入!AB4:AB12,叶片数据输入!AI4:AI12)</f>
        <v>R2</v>
      </c>
    </row>
    <row r="18" spans="1:3" x14ac:dyDescent="0.15">
      <c r="A18" s="24"/>
      <c r="B18" s="62" t="s">
        <v>255</v>
      </c>
      <c r="C18" s="59" t="str">
        <f>"R"&amp;LOOKUP(导叶计算过程!C9,叶片数据输入!AB4:AB12,叶片数据输入!AH4:AH12)</f>
        <v>R2</v>
      </c>
    </row>
    <row r="19" spans="1:3" x14ac:dyDescent="0.15">
      <c r="A19" s="24"/>
      <c r="B19" s="62" t="s">
        <v>254</v>
      </c>
      <c r="C19" s="59">
        <f>LOOKUP(导叶计算过程!C9,叶片数据输入!AB4:AB12,叶片数据输入!AN4:AN12)+ROUND(导叶计算过程!C35,2)</f>
        <v>9.07</v>
      </c>
    </row>
    <row r="20" spans="1:3" x14ac:dyDescent="0.15">
      <c r="A20" s="24"/>
      <c r="B20" s="62" t="s">
        <v>253</v>
      </c>
      <c r="C20" s="59">
        <f>LOOKUP(导叶计算过程!C9,叶片数据输入!AB4:AB12,叶片数据输入!AO4:AO12)-LOOKUP(导叶计算过程!C9,叶片数据输入!AB4:AB12,叶片数据输入!AN4:AN12)+ROUND(导叶计算过程!C36,2)</f>
        <v>6.05</v>
      </c>
    </row>
    <row r="21" spans="1:3" x14ac:dyDescent="0.15">
      <c r="A21" s="24"/>
      <c r="B21" s="62" t="s">
        <v>252</v>
      </c>
      <c r="C21" s="59" t="str">
        <f>ROUND(导叶计算过程!C30,2)&amp;"±0.15°"</f>
        <v>89.69±0.15°</v>
      </c>
    </row>
    <row r="22" spans="1:3" x14ac:dyDescent="0.15">
      <c r="A22" s="24"/>
      <c r="B22" s="62" t="s">
        <v>251</v>
      </c>
      <c r="C22" s="59" t="str">
        <f>"R"&amp;LOOKUP(导叶计算过程!C9,叶片数据输入!AB4:AB12,叶片数据输入!AV4:AV12)</f>
        <v>R1</v>
      </c>
    </row>
    <row r="23" spans="1:3" x14ac:dyDescent="0.15">
      <c r="A23" s="24"/>
      <c r="B23" s="62" t="s">
        <v>250</v>
      </c>
      <c r="C23" s="59" t="str">
        <f>"R"&amp;LOOKUP(导叶计算过程!C9,叶片数据输入!AB4:AB12,叶片数据输入!AU4:AU12)</f>
        <v>R2</v>
      </c>
    </row>
    <row r="24" spans="1:3" x14ac:dyDescent="0.15">
      <c r="A24" s="24"/>
      <c r="B24" s="62" t="s">
        <v>249</v>
      </c>
      <c r="C24" s="59" t="str">
        <f>"R"&amp;LOOKUP(导叶计算过程!C9,叶片数据输入!AB4:AB12,叶片数据输入!AT4:AT12)</f>
        <v>R2</v>
      </c>
    </row>
    <row r="25" spans="1:3" x14ac:dyDescent="0.15">
      <c r="A25" s="24"/>
      <c r="B25" s="62" t="s">
        <v>248</v>
      </c>
      <c r="C25" s="59">
        <f>LOOKUP(导叶计算过程!C9,叶片数据输入!AB4:AB12,叶片数据输入!AL4:AL12)</f>
        <v>1</v>
      </c>
    </row>
    <row r="26" spans="1:3" x14ac:dyDescent="0.15">
      <c r="A26" s="24"/>
      <c r="B26" s="62" t="s">
        <v>247</v>
      </c>
      <c r="C26" s="59">
        <f>INDEX(叶片数据输入!AB15:AI22,MATCH(导叶计算过程!C9,叶片数据输入!AB15:AB22),MATCH(导叶计算过程!C11,叶片数据输入!AB15:AI15))</f>
        <v>13.5</v>
      </c>
    </row>
    <row r="27" spans="1:3" x14ac:dyDescent="0.15">
      <c r="A27" s="24"/>
      <c r="B27" s="39" t="s">
        <v>246</v>
      </c>
      <c r="C27" s="59" t="str">
        <f>"(%%C"&amp;导叶计算过程!C8&amp;")"</f>
        <v>(%%C380)</v>
      </c>
    </row>
    <row r="28" spans="1:3" x14ac:dyDescent="0.15">
      <c r="A28" s="24"/>
      <c r="B28" s="39" t="s">
        <v>184</v>
      </c>
      <c r="C28" s="59">
        <f>导叶计算过程!C9</f>
        <v>16</v>
      </c>
    </row>
    <row r="29" spans="1:3" x14ac:dyDescent="0.15">
      <c r="A29" s="24"/>
      <c r="B29" s="62" t="s">
        <v>245</v>
      </c>
      <c r="C29" s="59" t="str">
        <f>导叶计算过程!C4&amp;"±0.1"</f>
        <v>20±0.1</v>
      </c>
    </row>
    <row r="30" spans="1:3" x14ac:dyDescent="0.15">
      <c r="A30" s="24"/>
      <c r="B30" s="62" t="s">
        <v>244</v>
      </c>
      <c r="C30" s="59" t="str">
        <f>导叶计算过程!C5&amp;"±0.2"</f>
        <v>25±0.2</v>
      </c>
    </row>
    <row r="31" spans="1:3" x14ac:dyDescent="0.15">
      <c r="A31" s="24"/>
      <c r="B31" s="62" t="s">
        <v>273</v>
      </c>
      <c r="C31" s="59">
        <f>LOOKUP(导叶计算过程!C9,叶片数据输入!AB4:AB12,叶片数据输入!AQ4:AQ12)</f>
        <v>17.5</v>
      </c>
    </row>
    <row r="32" spans="1:3" x14ac:dyDescent="0.15">
      <c r="A32" s="24"/>
      <c r="B32" s="62" t="s">
        <v>174</v>
      </c>
      <c r="C32" s="59" t="str">
        <f>导叶计算过程!C7&amp;"±0.2"</f>
        <v>50±0.2</v>
      </c>
    </row>
    <row r="33" spans="1:3" x14ac:dyDescent="0.15">
      <c r="A33" s="24"/>
      <c r="B33" s="62" t="s">
        <v>242</v>
      </c>
      <c r="C33" s="59">
        <f>LOOKUP(导叶计算过程!C9,叶片数据输入!AB4:AB12,叶片数据输入!AP4:AP12)</f>
        <v>17.5</v>
      </c>
    </row>
    <row r="34" spans="1:3" x14ac:dyDescent="0.15">
      <c r="A34" s="24"/>
      <c r="B34" s="62" t="s">
        <v>241</v>
      </c>
      <c r="C34" s="59">
        <f>LOOKUP(导叶计算过程!C9,叶片数据输入!AB4:AB12,叶片数据输入!AM4:AM12)</f>
        <v>12.8</v>
      </c>
    </row>
    <row r="35" spans="1:3" x14ac:dyDescent="0.15">
      <c r="A35" s="24"/>
      <c r="B35" s="63" t="s">
        <v>240</v>
      </c>
      <c r="C35" s="61" t="str">
        <f>LOOKUP(A2,叶片数据输入!B4:B43,叶片数据输入!G4:G43)&amp;"±0.1"</f>
        <v>20±0.1</v>
      </c>
    </row>
    <row r="36" spans="1:3" x14ac:dyDescent="0.15">
      <c r="A36" s="24"/>
    </row>
  </sheetData>
  <mergeCells count="2">
    <mergeCell ref="A5:A6"/>
    <mergeCell ref="B1:C1"/>
  </mergeCells>
  <phoneticPr fontId="2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4"/>
  <sheetViews>
    <sheetView topLeftCell="B7" workbookViewId="0">
      <selection activeCell="C36" sqref="C36"/>
    </sheetView>
  </sheetViews>
  <sheetFormatPr defaultRowHeight="14.25" x14ac:dyDescent="0.15"/>
  <cols>
    <col min="1" max="1" width="13" hidden="1" customWidth="1"/>
    <col min="2" max="2" width="11.625" customWidth="1"/>
    <col min="3" max="3" width="30" style="20" customWidth="1"/>
  </cols>
  <sheetData>
    <row r="1" spans="1:5" x14ac:dyDescent="0.15">
      <c r="A1" s="88" t="s">
        <v>45</v>
      </c>
      <c r="B1" s="207" t="str">
        <f>LOOKUP(A2,叶片数据输入!B4:B31,叶片数据输入!A4:A31)&amp;"末导叶"</f>
        <v>压力级1末导叶</v>
      </c>
      <c r="C1" s="200"/>
    </row>
    <row r="2" spans="1:5" x14ac:dyDescent="0.15">
      <c r="A2" s="98">
        <f>导叶绘图表!A2</f>
        <v>1</v>
      </c>
      <c r="B2" s="101"/>
      <c r="C2" s="89" t="s">
        <v>239</v>
      </c>
      <c r="D2" s="1"/>
      <c r="E2" s="26"/>
    </row>
    <row r="3" spans="1:5" x14ac:dyDescent="0.15">
      <c r="B3" s="64" t="s">
        <v>274</v>
      </c>
      <c r="C3" s="33">
        <f>ROUND(导叶计算过程!C39,2)</f>
        <v>25.4</v>
      </c>
    </row>
    <row r="4" spans="1:5" x14ac:dyDescent="0.15">
      <c r="B4" s="65" t="s">
        <v>265</v>
      </c>
      <c r="C4" s="34" t="str">
        <f>LOOKUP(导叶计算过程!C9,叶片数据输入!AB4:AB12,叶片数据输入!AC4:AC12)</f>
        <v>HS43024.05.06.50(JQF1-16)</v>
      </c>
    </row>
    <row r="5" spans="1:5" x14ac:dyDescent="0.15">
      <c r="A5" s="219"/>
      <c r="B5" s="100" t="s">
        <v>272</v>
      </c>
      <c r="C5" s="34" t="str">
        <f>LOOKUP(导叶计算过程!C9,叶片数据输入!AB4:AB12,叶片数据输入!AE4:AE12)&amp;"±0.1"</f>
        <v>5.39±0.1</v>
      </c>
    </row>
    <row r="6" spans="1:5" x14ac:dyDescent="0.15">
      <c r="A6" s="218"/>
      <c r="B6" s="65" t="s">
        <v>263</v>
      </c>
      <c r="C6" s="34" t="str">
        <f>导叶计算过程!C11&amp;"°"</f>
        <v>54.7°</v>
      </c>
    </row>
    <row r="7" spans="1:5" x14ac:dyDescent="0.15">
      <c r="B7" s="65" t="s">
        <v>180</v>
      </c>
      <c r="C7" s="34">
        <f>ROUND(LOOKUP(导叶计算过程!C9,叶片数据输入!AB4:AB12,叶片数据输入!AD4:AD12),2)</f>
        <v>16.91</v>
      </c>
    </row>
    <row r="8" spans="1:5" x14ac:dyDescent="0.15">
      <c r="B8" s="100" t="s">
        <v>262</v>
      </c>
      <c r="C8" s="34">
        <f>LOOKUP(导叶计算过程!C9,叶片数据输入!AB4:AB12,叶片数据输入!AF4:AF12)</f>
        <v>0.05</v>
      </c>
    </row>
    <row r="9" spans="1:5" x14ac:dyDescent="0.15">
      <c r="B9" s="100" t="s">
        <v>261</v>
      </c>
      <c r="C9" s="34">
        <f>LOOKUP(导叶计算过程!C9,叶片数据输入!AB4:AB12,叶片数据输入!AF4:AF12)</f>
        <v>0.05</v>
      </c>
    </row>
    <row r="10" spans="1:5" x14ac:dyDescent="0.15">
      <c r="B10" s="65" t="s">
        <v>208</v>
      </c>
      <c r="C10" s="34" t="str">
        <f>ROUND(导叶计算过程!C22,2)&amp;"±0.05"</f>
        <v>15.05±0.05</v>
      </c>
    </row>
    <row r="11" spans="1:5" x14ac:dyDescent="0.15">
      <c r="B11" s="65" t="s">
        <v>216</v>
      </c>
      <c r="C11" s="34" t="str">
        <f>ROUND(导叶计算过程!C27,2)&amp;"±0.05"</f>
        <v>11.91±0.05</v>
      </c>
    </row>
    <row r="12" spans="1:5" x14ac:dyDescent="0.15">
      <c r="B12" s="65" t="s">
        <v>188</v>
      </c>
      <c r="C12" s="35">
        <f>ROUND(导叶计算过程!C12,2)</f>
        <v>9.31</v>
      </c>
    </row>
    <row r="13" spans="1:5" x14ac:dyDescent="0.15">
      <c r="B13" s="100" t="s">
        <v>53</v>
      </c>
      <c r="C13" s="34" t="str">
        <f>导叶计算过程!C10&amp;"°"</f>
        <v>20°</v>
      </c>
    </row>
    <row r="14" spans="1:5" x14ac:dyDescent="0.15">
      <c r="B14" s="100" t="s">
        <v>260</v>
      </c>
      <c r="C14" s="34" t="str">
        <f>"("&amp;IF(导叶计算过程!C10=20,INDEX(叶片数据输入!AT15:BA24,MATCH(导叶计算过程!C9,叶片数据输入!AT15:AT24),MATCH(导叶计算过程!C11,叶片数据输入!AT15:BA15)),IF(导叶计算过程!C10=22,INDEX(叶片数据输入!AT25:BA34,MATCH(导叶计算过程!C9,叶片数据输入!AT25:AT34),MATCH(导叶计算过程!C11,叶片数据输入!AT25:BA25)),INDEX(叶片数据输入!AT35:BA44,MATCH(导叶计算过程!C9,叶片数据输入!AT35:AT44),MATCH(导叶计算过程!C11,叶片数据输入!AT35:BA35))))&amp;")"</f>
        <v>(4.65)</v>
      </c>
    </row>
    <row r="15" spans="1:5" x14ac:dyDescent="0.15">
      <c r="B15" s="100" t="s">
        <v>259</v>
      </c>
      <c r="C15" s="34" t="str">
        <f>IF(导叶计算过程!C10=20,INDEX(叶片数据输入!AL15:AS24,MATCH(导叶计算过程!C9,叶片数据输入!AL15:AL24),MATCH(导叶计算过程!C11,叶片数据输入!AL15:AS15)),IF(导叶计算过程!C10=22,INDEX(叶片数据输入!AL25:AS34,MATCH(导叶计算过程!C9,叶片数据输入!AL25:AL34),MATCH(导叶计算过程!C11,叶片数据输入!AL25:AS25)),INDEX(叶片数据输入!AL35:AS44,MATCH(导叶计算过程!C9,叶片数据输入!AL35:AL44),MATCH(导叶计算过程!C11,叶片数据输入!AL35:AS35))))&amp;"±0.1"</f>
        <v>10±0.1</v>
      </c>
    </row>
    <row r="16" spans="1:5" x14ac:dyDescent="0.15">
      <c r="B16" s="100" t="s">
        <v>258</v>
      </c>
      <c r="C16" s="34" t="str">
        <f>"R"&amp;LOOKUP(导叶计算过程!C9,叶片数据输入!AB4:AB12,叶片数据输入!AK4:AK12)</f>
        <v>R2</v>
      </c>
    </row>
    <row r="17" spans="2:3" x14ac:dyDescent="0.15">
      <c r="B17" s="100" t="s">
        <v>257</v>
      </c>
      <c r="C17" s="34" t="str">
        <f>"R"&amp;LOOKUP(导叶计算过程!C9,叶片数据输入!AB4:AB12,叶片数据输入!AJ4:AJ12)</f>
        <v>R2</v>
      </c>
    </row>
    <row r="18" spans="2:3" x14ac:dyDescent="0.15">
      <c r="B18" s="100" t="s">
        <v>256</v>
      </c>
      <c r="C18" s="34" t="str">
        <f>"R"&amp;LOOKUP(导叶计算过程!C9,叶片数据输入!AB4:AB12,叶片数据输入!AI4:AI12)</f>
        <v>R2</v>
      </c>
    </row>
    <row r="19" spans="2:3" x14ac:dyDescent="0.15">
      <c r="B19" s="100" t="s">
        <v>255</v>
      </c>
      <c r="C19" s="34" t="str">
        <f>"R"&amp;LOOKUP(导叶计算过程!C9,叶片数据输入!AB4:AB12,叶片数据输入!AH4:AH12)</f>
        <v>R2</v>
      </c>
    </row>
    <row r="20" spans="2:3" x14ac:dyDescent="0.15">
      <c r="B20" s="100" t="s">
        <v>254</v>
      </c>
      <c r="C20" s="34">
        <f>ROUND(LOOKUP(导叶计算过程!C9,叶片数据输入!AB4:AB12,叶片数据输入!AN4:AN12)+ROUND(导叶计算过程!C35,2),2)</f>
        <v>9.07</v>
      </c>
    </row>
    <row r="21" spans="2:3" x14ac:dyDescent="0.15">
      <c r="B21" s="100" t="s">
        <v>253</v>
      </c>
      <c r="C21" s="34">
        <f>ROUND(LOOKUP(导叶计算过程!C9,叶片数据输入!AB4:AB12,叶片数据输入!AO4:AO12)-LOOKUP(导叶计算过程!C9,叶片数据输入!AB4:AB12,叶片数据输入!AN4:AN12)+ROUND(导叶计算过程!C36,2),2)</f>
        <v>6.05</v>
      </c>
    </row>
    <row r="22" spans="2:3" x14ac:dyDescent="0.15">
      <c r="B22" s="100" t="s">
        <v>252</v>
      </c>
      <c r="C22" s="34" t="str">
        <f>ROUND(导叶计算过程!C30,2)&amp;"±0.15°"</f>
        <v>89.69±0.15°</v>
      </c>
    </row>
    <row r="23" spans="2:3" x14ac:dyDescent="0.15">
      <c r="B23" s="100" t="s">
        <v>251</v>
      </c>
      <c r="C23" s="34" t="str">
        <f>"R"&amp;LOOKUP(导叶计算过程!C9,叶片数据输入!AB4:AB12,叶片数据输入!AV4:AV12)</f>
        <v>R1</v>
      </c>
    </row>
    <row r="24" spans="2:3" x14ac:dyDescent="0.15">
      <c r="B24" s="100" t="s">
        <v>250</v>
      </c>
      <c r="C24" s="34" t="str">
        <f>"R"&amp;LOOKUP(导叶计算过程!C9,叶片数据输入!AB4:AB12,叶片数据输入!AU4:AU12)</f>
        <v>R2</v>
      </c>
    </row>
    <row r="25" spans="2:3" x14ac:dyDescent="0.15">
      <c r="B25" s="100" t="s">
        <v>249</v>
      </c>
      <c r="C25" s="34" t="str">
        <f>"R"&amp;LOOKUP(导叶计算过程!C9,叶片数据输入!AB4:AB12,叶片数据输入!AT4:AT12)</f>
        <v>R2</v>
      </c>
    </row>
    <row r="26" spans="2:3" x14ac:dyDescent="0.15">
      <c r="B26" s="100" t="s">
        <v>248</v>
      </c>
      <c r="C26" s="34">
        <f>LOOKUP(导叶计算过程!C9,叶片数据输入!AB4:AB12,叶片数据输入!AL4:AL12)</f>
        <v>1</v>
      </c>
    </row>
    <row r="27" spans="2:3" x14ac:dyDescent="0.15">
      <c r="B27" s="100" t="s">
        <v>247</v>
      </c>
      <c r="C27" s="34">
        <f>ROUND(INDEX(叶片数据输入!AB15:AI22,MATCH(导叶计算过程!C9,叶片数据输入!AB15:AB22),MATCH(导叶计算过程!C11,叶片数据输入!AB15:AI15)),2)</f>
        <v>13.5</v>
      </c>
    </row>
    <row r="28" spans="2:3" x14ac:dyDescent="0.15">
      <c r="B28" s="65" t="s">
        <v>246</v>
      </c>
      <c r="C28" s="34" t="str">
        <f>"(%%C"&amp;导叶计算过程!C8&amp;")"</f>
        <v>(%%C380)</v>
      </c>
    </row>
    <row r="29" spans="2:3" x14ac:dyDescent="0.15">
      <c r="B29" s="65" t="s">
        <v>184</v>
      </c>
      <c r="C29" s="34">
        <f>导叶计算过程!C9</f>
        <v>16</v>
      </c>
    </row>
    <row r="30" spans="2:3" x14ac:dyDescent="0.15">
      <c r="B30" s="100" t="s">
        <v>245</v>
      </c>
      <c r="C30" s="34" t="str">
        <f>导叶计算过程!C4&amp;"±0.1"</f>
        <v>20±0.1</v>
      </c>
    </row>
    <row r="31" spans="2:3" x14ac:dyDescent="0.15">
      <c r="B31" s="100" t="s">
        <v>244</v>
      </c>
      <c r="C31" s="34" t="str">
        <f>导叶计算过程!C5&amp;"±0.2"</f>
        <v>25±0.2</v>
      </c>
    </row>
    <row r="32" spans="2:3" x14ac:dyDescent="0.15">
      <c r="B32" s="100" t="s">
        <v>273</v>
      </c>
      <c r="C32" s="34">
        <f>LOOKUP(导叶计算过程!C9,叶片数据输入!AB4:AB12,叶片数据输入!AQ4:AQ12)</f>
        <v>17.5</v>
      </c>
    </row>
    <row r="33" spans="2:3" x14ac:dyDescent="0.15">
      <c r="B33" s="100" t="s">
        <v>174</v>
      </c>
      <c r="C33" s="34" t="str">
        <f>导叶计算过程!C7&amp;"±0.2"</f>
        <v>50±0.2</v>
      </c>
    </row>
    <row r="34" spans="2:3" x14ac:dyDescent="0.15">
      <c r="B34" s="100" t="s">
        <v>242</v>
      </c>
      <c r="C34" s="34">
        <f>ROUND(LOOKUP(导叶计算过程!C9,叶片数据输入!AB4:AB12,叶片数据输入!AP4:AP12),2)</f>
        <v>17.5</v>
      </c>
    </row>
    <row r="35" spans="2:3" x14ac:dyDescent="0.15">
      <c r="B35" s="100" t="s">
        <v>241</v>
      </c>
      <c r="C35" s="34">
        <f>ROUND(LOOKUP(导叶计算过程!C9,叶片数据输入!AB4:AB12,叶片数据输入!AM4:AM12),2)</f>
        <v>12.8</v>
      </c>
    </row>
    <row r="36" spans="2:3" x14ac:dyDescent="0.15">
      <c r="B36" s="66" t="s">
        <v>240</v>
      </c>
      <c r="C36" s="67" t="str">
        <f>LOOKUP(A2,叶片数据输入!B4:B43,叶片数据输入!G4:G43)&amp;"±0.1"</f>
        <v>20±0.1</v>
      </c>
    </row>
    <row r="37" spans="2:3" x14ac:dyDescent="0.15">
      <c r="C37" s="27"/>
    </row>
    <row r="38" spans="2:3" x14ac:dyDescent="0.15">
      <c r="C38" s="27"/>
    </row>
    <row r="43" spans="2:3" x14ac:dyDescent="0.15">
      <c r="C43" s="27"/>
    </row>
    <row r="44" spans="2:3" x14ac:dyDescent="0.15">
      <c r="C44" s="27"/>
    </row>
  </sheetData>
  <mergeCells count="2">
    <mergeCell ref="A5:A6"/>
    <mergeCell ref="B1:C1"/>
  </mergeCells>
  <phoneticPr fontId="2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3"/>
  <sheetViews>
    <sheetView topLeftCell="B1" workbookViewId="0">
      <selection activeCell="C19" sqref="C19"/>
    </sheetView>
  </sheetViews>
  <sheetFormatPr defaultRowHeight="14.25" x14ac:dyDescent="0.15"/>
  <cols>
    <col min="1" max="1" width="13" hidden="1" customWidth="1"/>
    <col min="2" max="2" width="11.625" customWidth="1"/>
    <col min="3" max="3" width="30" style="20" customWidth="1"/>
  </cols>
  <sheetData>
    <row r="1" spans="1:5" x14ac:dyDescent="0.15">
      <c r="A1" s="88" t="s">
        <v>45</v>
      </c>
      <c r="B1" s="207" t="str">
        <f>LOOKUP(A2,叶片数据输入!B4:B31,叶片数据输入!A4:A31)&amp;"末导叶根"</f>
        <v>压力级1末导叶根</v>
      </c>
      <c r="C1" s="200"/>
    </row>
    <row r="2" spans="1:5" x14ac:dyDescent="0.15">
      <c r="A2" s="98">
        <f>导叶绘图表!A2</f>
        <v>1</v>
      </c>
      <c r="B2" s="101"/>
      <c r="C2" s="89" t="s">
        <v>239</v>
      </c>
      <c r="D2" s="1"/>
      <c r="E2" s="26"/>
    </row>
    <row r="3" spans="1:5" x14ac:dyDescent="0.15">
      <c r="B3" s="68" t="s">
        <v>275</v>
      </c>
      <c r="C3" s="33">
        <f>ROUND(ROUND(导叶计算过程!C40,2),2)</f>
        <v>15.05</v>
      </c>
    </row>
    <row r="4" spans="1:5" x14ac:dyDescent="0.15">
      <c r="A4" s="24"/>
      <c r="B4" s="69" t="s">
        <v>276</v>
      </c>
      <c r="C4" s="70" t="str">
        <f>(导叶计算过程!C5+导叶计算过程!C4-LOOKUP(A2,叶片数据输入!B4:B43,叶片数据输入!G4:G43))&amp;"±0.2"</f>
        <v>25±0.2</v>
      </c>
    </row>
    <row r="5" spans="1:5" ht="14.25" customHeight="1" x14ac:dyDescent="0.15">
      <c r="A5" s="102"/>
      <c r="B5" s="100" t="s">
        <v>241</v>
      </c>
      <c r="C5" s="34">
        <f>ROUND(LOOKUP(导叶计算过程!C9,叶片数据输入!AB4:AB12,叶片数据输入!AM4:AM12),2)</f>
        <v>12.8</v>
      </c>
    </row>
    <row r="6" spans="1:5" x14ac:dyDescent="0.15">
      <c r="A6" s="102"/>
      <c r="B6" s="100" t="s">
        <v>242</v>
      </c>
      <c r="C6" s="34">
        <f>ROUND(LOOKUP(导叶计算过程!C9,叶片数据输入!AB4:AB12,叶片数据输入!AP4:AP12),2)</f>
        <v>17.5</v>
      </c>
    </row>
    <row r="7" spans="1:5" x14ac:dyDescent="0.15">
      <c r="A7" s="24"/>
      <c r="B7" s="100" t="s">
        <v>273</v>
      </c>
      <c r="C7" s="34">
        <f>ROUND(LOOKUP(导叶计算过程!C9,叶片数据输入!AB4:AB12,叶片数据输入!AQ4:AQ12),2)</f>
        <v>17.5</v>
      </c>
    </row>
    <row r="8" spans="1:5" x14ac:dyDescent="0.15">
      <c r="A8" s="24"/>
      <c r="B8" s="100" t="s">
        <v>244</v>
      </c>
      <c r="C8" s="34" t="str">
        <f>导叶计算过程!C5&amp;"±0.2"</f>
        <v>25±0.2</v>
      </c>
    </row>
    <row r="9" spans="1:5" x14ac:dyDescent="0.15">
      <c r="A9" s="24"/>
      <c r="B9" s="65" t="s">
        <v>184</v>
      </c>
      <c r="C9" s="34">
        <f>ROUND(导叶计算过程!C9,1)</f>
        <v>16</v>
      </c>
    </row>
    <row r="10" spans="1:5" x14ac:dyDescent="0.15">
      <c r="A10" s="24"/>
      <c r="B10" s="100" t="s">
        <v>247</v>
      </c>
      <c r="C10" s="34">
        <f>ROUND(INDEX(叶片数据输入!AB15:AI22,MATCH(导叶计算过程!C9,叶片数据输入!AB15:AB22),MATCH(导叶计算过程!C11,叶片数据输入!AB15:AI15)),2)</f>
        <v>13.5</v>
      </c>
    </row>
    <row r="11" spans="1:5" x14ac:dyDescent="0.15">
      <c r="A11" s="24"/>
      <c r="B11" s="100" t="s">
        <v>248</v>
      </c>
      <c r="C11" s="34">
        <f>ROUND(LOOKUP(导叶计算过程!C9,叶片数据输入!AB4:AB12,叶片数据输入!AL4:AL12),2)</f>
        <v>1</v>
      </c>
    </row>
    <row r="12" spans="1:5" x14ac:dyDescent="0.15">
      <c r="A12" s="24"/>
      <c r="B12" s="100" t="s">
        <v>249</v>
      </c>
      <c r="C12" s="34" t="str">
        <f>"R"&amp;LOOKUP(导叶计算过程!C9,叶片数据输入!AB4:AB12,叶片数据输入!AT4:AT12)</f>
        <v>R2</v>
      </c>
    </row>
    <row r="13" spans="1:5" x14ac:dyDescent="0.15">
      <c r="A13" s="24"/>
      <c r="B13" s="100" t="s">
        <v>250</v>
      </c>
      <c r="C13" s="34" t="str">
        <f>"R"&amp;LOOKUP(导叶计算过程!C9,叶片数据输入!AB4:AB12,叶片数据输入!AU4:AU12)</f>
        <v>R2</v>
      </c>
    </row>
    <row r="14" spans="1:5" x14ac:dyDescent="0.15">
      <c r="A14" s="24"/>
      <c r="B14" s="100" t="s">
        <v>251</v>
      </c>
      <c r="C14" s="34" t="str">
        <f>"R"&amp;LOOKUP(导叶计算过程!C9,叶片数据输入!AB4:AB12,叶片数据输入!AV4:AV12)</f>
        <v>R1</v>
      </c>
    </row>
    <row r="15" spans="1:5" x14ac:dyDescent="0.15">
      <c r="A15" s="24"/>
      <c r="B15" s="100" t="s">
        <v>252</v>
      </c>
      <c r="C15" s="34" t="str">
        <f>ROUND(导叶计算过程!C30,2)&amp;"±0.15°"</f>
        <v>89.69±0.15°</v>
      </c>
    </row>
    <row r="16" spans="1:5" x14ac:dyDescent="0.15">
      <c r="A16" s="24"/>
      <c r="B16" s="100" t="s">
        <v>253</v>
      </c>
      <c r="C16" s="34">
        <f>ROUND(LOOKUP(导叶计算过程!C9,叶片数据输入!AB4:AB12,叶片数据输入!AO4:AO12)-LOOKUP(导叶计算过程!C9,叶片数据输入!AB4:AB12,叶片数据输入!AN4:AN12)+ROUND(导叶计算过程!C41,2),2)</f>
        <v>6.09</v>
      </c>
    </row>
    <row r="17" spans="1:3" x14ac:dyDescent="0.15">
      <c r="A17" s="24"/>
      <c r="B17" s="100" t="s">
        <v>254</v>
      </c>
      <c r="C17" s="34">
        <f>ROUND(LOOKUP(导叶计算过程!C9,叶片数据输入!AB4:AB12,叶片数据输入!AN4:AN12)+ROUND(导叶计算过程!C35,2),2)</f>
        <v>9.07</v>
      </c>
    </row>
    <row r="18" spans="1:3" x14ac:dyDescent="0.15">
      <c r="A18" s="24"/>
      <c r="B18" s="100" t="s">
        <v>53</v>
      </c>
      <c r="C18" s="34" t="str">
        <f>导叶计算过程!C10&amp;"°"</f>
        <v>20°</v>
      </c>
    </row>
    <row r="19" spans="1:3" x14ac:dyDescent="0.15">
      <c r="A19" s="24"/>
      <c r="B19" s="71" t="s">
        <v>188</v>
      </c>
      <c r="C19" s="37">
        <f>ROUND(ROUND(导叶计算过程!C12,2),2)</f>
        <v>9.31</v>
      </c>
    </row>
    <row r="27" spans="1:3" x14ac:dyDescent="0.15">
      <c r="C27" s="27"/>
    </row>
    <row r="32" spans="1:3" x14ac:dyDescent="0.15">
      <c r="C32" s="27"/>
    </row>
    <row r="33" spans="3:3" x14ac:dyDescent="0.15">
      <c r="C33" s="27"/>
    </row>
  </sheetData>
  <mergeCells count="1">
    <mergeCell ref="B1:C1"/>
  </mergeCells>
  <phoneticPr fontId="2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72"/>
  <sheetViews>
    <sheetView topLeftCell="A13" workbookViewId="0">
      <selection activeCell="C44" sqref="C44"/>
    </sheetView>
  </sheetViews>
  <sheetFormatPr defaultColWidth="19.375" defaultRowHeight="14.25" x14ac:dyDescent="0.15"/>
  <cols>
    <col min="2" max="2" width="19.375" customWidth="1"/>
    <col min="3" max="3" width="19.375" style="20" customWidth="1"/>
  </cols>
  <sheetData>
    <row r="1" spans="1:5" x14ac:dyDescent="0.15">
      <c r="A1" s="88" t="s">
        <v>45</v>
      </c>
      <c r="B1" s="220" t="str">
        <f>LOOKUP(A2,叶片数据输入!B4:B31,叶片数据输入!A4:A31)&amp;"动叶片"</f>
        <v>压力级1动叶片</v>
      </c>
      <c r="C1" s="200"/>
    </row>
    <row r="2" spans="1:5" x14ac:dyDescent="0.15">
      <c r="A2" s="86">
        <f>动叶计算过程!B30</f>
        <v>1</v>
      </c>
      <c r="B2" s="87"/>
      <c r="C2" s="89" t="s">
        <v>239</v>
      </c>
      <c r="D2" s="1"/>
      <c r="E2" s="26"/>
    </row>
    <row r="3" spans="1:5" x14ac:dyDescent="0.15">
      <c r="A3" s="79" t="s">
        <v>277</v>
      </c>
      <c r="B3" s="82" t="s">
        <v>184</v>
      </c>
      <c r="C3" s="33">
        <f>动叶计算过程!C5</f>
        <v>16</v>
      </c>
    </row>
    <row r="4" spans="1:5" x14ac:dyDescent="0.15">
      <c r="A4" s="79">
        <f>A2+1</f>
        <v>2</v>
      </c>
      <c r="B4" s="83" t="s">
        <v>278</v>
      </c>
      <c r="C4" s="70">
        <f>ROUND(INDEX(叶片数据输入!AB15:AI22,MATCH(动叶计算过程!C5,叶片数据输入!AB15:AB22),MATCH(动叶计算过程!C23,叶片数据输入!AB15:AI15))+2*LOOKUP(动叶计算过程!C5,叶片数据输入!AB4:AB12,叶片数据输入!BJ4:BJ12),2)</f>
        <v>14.5</v>
      </c>
    </row>
    <row r="5" spans="1:5" x14ac:dyDescent="0.15">
      <c r="B5" s="83" t="s">
        <v>279</v>
      </c>
      <c r="C5" s="70">
        <f>ROUND(INDEX(叶片数据输入!AB27:AI34,MATCH(动叶计算过程!C5,叶片数据输入!AB27:AB34),MATCH(动叶计算过程!C23,叶片数据输入!AB27:AI27))-LOOKUP(动叶计算过程!C5,叶片数据输入!AB4:AB12,叶片数据输入!BJ4:BJ12),2)</f>
        <v>0.5</v>
      </c>
    </row>
    <row r="6" spans="1:5" x14ac:dyDescent="0.15">
      <c r="B6" s="62" t="s">
        <v>247</v>
      </c>
      <c r="C6" s="34">
        <f>ROUND(INDEX(叶片数据输入!AB15:AI22,MATCH(动叶计算过程!C5,叶片数据输入!AB15:AB22),MATCH(动叶计算过程!C23,叶片数据输入!AB15:AI15)),2)</f>
        <v>14.1</v>
      </c>
    </row>
    <row r="7" spans="1:5" x14ac:dyDescent="0.15">
      <c r="A7" s="24"/>
      <c r="B7" s="83" t="s">
        <v>280</v>
      </c>
      <c r="C7" s="70">
        <f>ROUND(INDEX(叶片数据输入!AB27:AI34,MATCH(动叶计算过程!C5,叶片数据输入!AB27:AB34),MATCH(动叶计算过程!C23,叶片数据输入!AB27:AI27)),2)</f>
        <v>0.7</v>
      </c>
    </row>
    <row r="8" spans="1:5" x14ac:dyDescent="0.15">
      <c r="A8" s="24"/>
      <c r="B8" s="83" t="s">
        <v>281</v>
      </c>
      <c r="C8" s="70" t="str">
        <f>"("&amp;ROUND((C3-C6-C7),3)&amp;")"</f>
        <v>(1.2)</v>
      </c>
    </row>
    <row r="9" spans="1:5" x14ac:dyDescent="0.15">
      <c r="A9" s="24"/>
      <c r="B9" s="83" t="s">
        <v>282</v>
      </c>
      <c r="C9" s="70" t="str">
        <f>LOOKUP(A2,叶片数据输入!B4:B43,叶片数据输入!M4:M43)&amp;"±0.1"</f>
        <v>18±0.1</v>
      </c>
    </row>
    <row r="10" spans="1:5" x14ac:dyDescent="0.15">
      <c r="A10" s="24"/>
      <c r="B10" s="83" t="s">
        <v>283</v>
      </c>
      <c r="C10" s="70" t="str">
        <f>LOOKUP(A2,叶片数据输入!B4:B43,叶片数据输入!O4:O43)&amp;"±0.1"</f>
        <v>22±0.1</v>
      </c>
    </row>
    <row r="11" spans="1:5" x14ac:dyDescent="0.15">
      <c r="A11" s="24"/>
      <c r="B11" s="83" t="s">
        <v>284</v>
      </c>
      <c r="C11" s="70" t="str">
        <f>(动叶计算过程!C3-LOOKUP(动叶计算过程!C5,叶片数据输入!AB4:AB12,叶片数据输入!AX4:AX12)-LOOKUP(动叶计算过程!C5,叶片数据输入!AB4:AB12,叶片数据输入!BH4:BH12))&amp;"±0.2"</f>
        <v>29.5±0.2</v>
      </c>
    </row>
    <row r="12" spans="1:5" x14ac:dyDescent="0.15">
      <c r="A12" s="24"/>
      <c r="B12" s="83" t="s">
        <v>285</v>
      </c>
      <c r="C12" s="70">
        <f>LOOKUP(动叶计算过程!C5,叶片数据输入!AB4:AB12,叶片数据输入!AX4:AX12)</f>
        <v>20.5</v>
      </c>
    </row>
    <row r="13" spans="1:5" x14ac:dyDescent="0.15">
      <c r="A13" s="24"/>
      <c r="B13" s="83" t="s">
        <v>286</v>
      </c>
      <c r="C13" s="70" t="str">
        <f>动叶计算过程!C3&amp;"±0.2"</f>
        <v>56±0.2</v>
      </c>
    </row>
    <row r="14" spans="1:5" x14ac:dyDescent="0.15">
      <c r="A14" s="24"/>
      <c r="B14" s="83" t="s">
        <v>287</v>
      </c>
      <c r="C14" s="70">
        <f>ROUND(IF(LOOKUP(A2,叶片数据输入!B4:B43,叶片数据输入!U4:U43)="是",动叶计算过程!C3-LOOKUP(A2,叶片数据输入!B4:B43,叶片数据输入!M4:M43)-LOOKUP(A2,叶片数据输入!B4:B43,叶片数据输入!X4:X43)-LOOKUP(动叶计算过程!C5,叶片数据输入!AB4:AB12,叶片数据输入!BH4:BH12),0.5*(LOOKUP(A4,叶片数据输入!B4:B43,叶片数据输入!D4:D43)-LOOKUP(A4,叶片数据输入!B4:B43,叶片数据输入!E4:E43)-2*LOOKUP(A4,叶片数据输入!B4:B43,叶片数据输入!V4:V43)-2*LOOKUP(LOOKUP(A4,叶片数据输入!B4:B43,叶片数据输入!H4:H43),叶片数据输入!AB4:AB12,叶片数据输入!AS4:AS12)-动叶计算过程!C4)),2)</f>
        <v>24.5</v>
      </c>
    </row>
    <row r="15" spans="1:5" x14ac:dyDescent="0.15">
      <c r="A15" s="24"/>
      <c r="B15" s="83" t="s">
        <v>288</v>
      </c>
      <c r="C15" s="70" t="str">
        <f>"2-R"&amp;LOOKUP(动叶计算过程!C5,叶片数据输入!AB4:AB12,叶片数据输入!BA4:BA12)</f>
        <v>2-R0.8</v>
      </c>
    </row>
    <row r="16" spans="1:5" x14ac:dyDescent="0.15">
      <c r="A16" s="24"/>
      <c r="B16" s="83" t="s">
        <v>289</v>
      </c>
      <c r="C16" s="70" t="str">
        <f>"(%%C"&amp;动叶计算过程!C4&amp;")"</f>
        <v>(%%C334)</v>
      </c>
    </row>
    <row r="17" spans="1:3" x14ac:dyDescent="0.15">
      <c r="A17" s="24"/>
      <c r="B17" s="62" t="s">
        <v>255</v>
      </c>
      <c r="C17" s="34" t="str">
        <f>"R"&amp;LOOKUP(动叶计算过程!C5,叶片数据输入!AB4:AB12,叶片数据输入!BD4:BD12)</f>
        <v>R2</v>
      </c>
    </row>
    <row r="18" spans="1:3" x14ac:dyDescent="0.15">
      <c r="A18" s="24"/>
      <c r="B18" s="62" t="s">
        <v>256</v>
      </c>
      <c r="C18" s="34" t="str">
        <f>"R"&amp;LOOKUP(动叶计算过程!C5,叶片数据输入!AB4:AB12,叶片数据输入!BE4:BE12)</f>
        <v>R2</v>
      </c>
    </row>
    <row r="19" spans="1:3" x14ac:dyDescent="0.15">
      <c r="A19" s="24"/>
      <c r="B19" s="62" t="s">
        <v>257</v>
      </c>
      <c r="C19" s="34" t="str">
        <f>"R"&amp;LOOKUP(动叶计算过程!C5,叶片数据输入!AB4:AB12,叶片数据输入!BF4:BF12)</f>
        <v>R2</v>
      </c>
    </row>
    <row r="20" spans="1:3" x14ac:dyDescent="0.15">
      <c r="A20" s="24"/>
      <c r="B20" s="62" t="s">
        <v>258</v>
      </c>
      <c r="C20" s="34" t="str">
        <f>"R"&amp;LOOKUP(动叶计算过程!C5,叶片数据输入!AB4:AB12,叶片数据输入!BG4:BG12)</f>
        <v>R2</v>
      </c>
    </row>
    <row r="21" spans="1:3" x14ac:dyDescent="0.15">
      <c r="A21" s="24"/>
      <c r="B21" s="83" t="s">
        <v>290</v>
      </c>
      <c r="C21" s="70" t="str">
        <f>"%%C"&amp;(动叶计算过程!C4+2*LOOKUP(动叶计算过程!C5,叶片数据输入!AB4:AB12,叶片数据输入!AY4:AY12))</f>
        <v>%%C350</v>
      </c>
    </row>
    <row r="22" spans="1:3" x14ac:dyDescent="0.15">
      <c r="A22" s="24"/>
      <c r="B22" s="83" t="s">
        <v>291</v>
      </c>
      <c r="C22" s="70" t="str">
        <f>"C"&amp;LOOKUP(动叶计算过程!C5,叶片数据输入!AB4:AB12,叶片数据输入!BC4:BC12)</f>
        <v>C0.5</v>
      </c>
    </row>
    <row r="23" spans="1:3" x14ac:dyDescent="0.15">
      <c r="A23" s="24"/>
      <c r="B23" s="84" t="s">
        <v>292</v>
      </c>
      <c r="C23" s="81">
        <f>C3</f>
        <v>16</v>
      </c>
    </row>
    <row r="24" spans="1:3" x14ac:dyDescent="0.15">
      <c r="A24" s="24"/>
      <c r="B24" s="83" t="s">
        <v>293</v>
      </c>
      <c r="C24" s="70">
        <f>IF(LOOKUP(A2,叶片数据输入!B4:B43,叶片数据输入!S4:S43)=0,0,LOOKUP(动叶计算过程!C5,叶片数据输入!AB4:AB12,叶片数据输入!AZ4:AZ12))</f>
        <v>0</v>
      </c>
    </row>
    <row r="25" spans="1:3" x14ac:dyDescent="0.15">
      <c r="A25" s="24"/>
      <c r="B25" s="83" t="s">
        <v>294</v>
      </c>
      <c r="C25" s="70" t="str">
        <f>"%%C"&amp;LOOKUP(A2,叶片数据输入!B4:B43,叶片数据输入!S4:S43)</f>
        <v>%%C0</v>
      </c>
    </row>
    <row r="26" spans="1:3" x14ac:dyDescent="0.15">
      <c r="A26" s="24"/>
      <c r="B26" s="39" t="s">
        <v>263</v>
      </c>
      <c r="C26" s="34" t="str">
        <f>动叶计算过程!C23&amp;"°"</f>
        <v>58.7°</v>
      </c>
    </row>
    <row r="27" spans="1:3" x14ac:dyDescent="0.15">
      <c r="A27" s="24"/>
      <c r="B27" s="39" t="s">
        <v>180</v>
      </c>
      <c r="C27" s="34">
        <f>ROUND(LOOKUP(动叶计算过程!C5,叶片数据输入!AB4:AB12,叶片数据输入!AD4:AD12),2)</f>
        <v>16.91</v>
      </c>
    </row>
    <row r="28" spans="1:3" x14ac:dyDescent="0.15">
      <c r="A28" s="24"/>
      <c r="B28" s="39" t="s">
        <v>295</v>
      </c>
      <c r="C28" s="34">
        <f>LOOKUP(动叶计算过程!C5,叶片数据输入!AB4:AB12,叶片数据输入!AF4:AF12)</f>
        <v>0.05</v>
      </c>
    </row>
    <row r="29" spans="1:3" x14ac:dyDescent="0.15">
      <c r="A29" s="24"/>
      <c r="B29" s="39" t="s">
        <v>296</v>
      </c>
      <c r="C29" s="34">
        <f>LOOKUP(动叶计算过程!C5,叶片数据输入!AB4:AB12,叶片数据输入!AF4:AF12)</f>
        <v>0.05</v>
      </c>
    </row>
    <row r="30" spans="1:3" x14ac:dyDescent="0.15">
      <c r="A30" s="24"/>
      <c r="B30" s="62" t="s">
        <v>272</v>
      </c>
      <c r="C30" s="34" t="str">
        <f>LOOKUP(动叶计算过程!C5,叶片数据输入!AB4:AB12,叶片数据输入!AE4:AE12)&amp;"±0.1"</f>
        <v>5.39±0.1</v>
      </c>
    </row>
    <row r="31" spans="1:3" x14ac:dyDescent="0.15">
      <c r="A31" s="24"/>
      <c r="B31" s="83" t="s">
        <v>297</v>
      </c>
      <c r="C31" s="70" t="str">
        <f>"R"&amp;LOOKUP(动叶计算过程!C5,叶片数据输入!AB4:AB12,叶片数据输入!BB4:BB12)</f>
        <v>R0.5</v>
      </c>
    </row>
    <row r="32" spans="1:3" x14ac:dyDescent="0.15">
      <c r="A32" s="24"/>
      <c r="B32" s="83" t="s">
        <v>208</v>
      </c>
      <c r="C32" s="70" t="str">
        <f>ROUND(动叶计算过程!C17,2)&amp;"±0.05"</f>
        <v>13.86±0.05</v>
      </c>
    </row>
    <row r="33" spans="1:3" x14ac:dyDescent="0.15">
      <c r="A33" s="24"/>
      <c r="B33" s="83" t="s">
        <v>216</v>
      </c>
      <c r="C33" s="70" t="str">
        <f>ROUND(动叶计算过程!C22,2)&amp;"±0.05"</f>
        <v>10.38±0.05</v>
      </c>
    </row>
    <row r="34" spans="1:3" x14ac:dyDescent="0.15">
      <c r="A34" s="24"/>
      <c r="B34" s="62" t="s">
        <v>53</v>
      </c>
      <c r="C34" s="34" t="str">
        <f>动叶计算过程!C6&amp;"°"</f>
        <v>20°</v>
      </c>
    </row>
    <row r="35" spans="1:3" x14ac:dyDescent="0.15">
      <c r="A35" s="24"/>
      <c r="B35" s="39" t="s">
        <v>188</v>
      </c>
      <c r="C35" s="78" t="str">
        <f>ROUND(动叶计算过程!C7,2)&amp;"±0.1"</f>
        <v>9.31±0.1</v>
      </c>
    </row>
    <row r="36" spans="1:3" x14ac:dyDescent="0.15">
      <c r="A36" s="24"/>
      <c r="B36" s="62" t="s">
        <v>259</v>
      </c>
      <c r="C36" s="34" t="str">
        <f>IF(动叶计算过程!C6=20,INDEX(叶片数据输入!BB15:BI24,MATCH(动叶计算过程!C5,叶片数据输入!BB15:BB24),MATCH(动叶计算过程!C23,叶片数据输入!BB15:BI15)),IF(动叶计算过程!C6=22,INDEX(叶片数据输入!BB25:BI34,MATCH(动叶计算过程!C5,叶片数据输入!BB25:BB34),MATCH(动叶计算过程!C23,叶片数据输入!BB25:BI25)),INDEX(叶片数据输入!BB35:BI44,MATCH(动叶计算过程!C5,叶片数据输入!BB35:BB44),MATCH(动叶计算过程!C23,叶片数据输入!BB35:BI35))))&amp;"±0.1"</f>
        <v>9.59±0.1</v>
      </c>
    </row>
    <row r="37" spans="1:3" x14ac:dyDescent="0.15">
      <c r="A37" s="24"/>
      <c r="B37" s="62" t="s">
        <v>260</v>
      </c>
      <c r="C37" s="34" t="str">
        <f>"("&amp;IF(动叶计算过程!C6=20,INDEX(叶片数据输入!BJ15:BQ24,MATCH(动叶计算过程!C5,叶片数据输入!BJ15:BJ24),MATCH(动叶计算过程!C23,叶片数据输入!BJ15:BQ15)),IF(动叶计算过程!C6=22,INDEX(叶片数据输入!BJ25:BQ34,MATCH(动叶计算过程!C5,叶片数据输入!BJ25:BJ34),MATCH(动叶计算过程!C23,叶片数据输入!BJ25:BQ25)),INDEX(叶片数据输入!BJ35:BQ44,MATCH(动叶计算过程!C5,叶片数据输入!BJ35:BJ44),MATCH(动叶计算过程!C23,叶片数据输入!BJ35:BQ35))))&amp;")"</f>
        <v>(4.34)</v>
      </c>
    </row>
    <row r="38" spans="1:3" x14ac:dyDescent="0.15">
      <c r="A38" s="24"/>
      <c r="B38" s="39" t="s">
        <v>265</v>
      </c>
      <c r="C38" s="34" t="str">
        <f>LOOKUP(动叶计算过程!C5,叶片数据输入!AB4:AB12,叶片数据输入!AC4:AC12)</f>
        <v>HS43024.05.06.50(JQF1-16)</v>
      </c>
    </row>
    <row r="39" spans="1:3" x14ac:dyDescent="0.15">
      <c r="A39" s="24"/>
      <c r="B39" s="83" t="s">
        <v>298</v>
      </c>
      <c r="C39" s="70" t="str">
        <f>LOOKUP(动叶计算过程!C5,叶片数据输入!AB4:AB12,叶片数据输入!AW4:AW12)</f>
        <v>HS33042.25.01.19</v>
      </c>
    </row>
    <row r="40" spans="1:3" x14ac:dyDescent="0.15">
      <c r="A40" s="24"/>
      <c r="B40" s="83" t="s">
        <v>268</v>
      </c>
      <c r="C40" s="70" t="str">
        <f>ROUND(动叶计算过程!C17,2)&amp;"+0.3"</f>
        <v>13.86+0.3</v>
      </c>
    </row>
    <row r="41" spans="1:3" x14ac:dyDescent="0.15">
      <c r="A41" s="24"/>
      <c r="B41" s="83" t="s">
        <v>269</v>
      </c>
      <c r="C41" s="70" t="str">
        <f>ROUND(动叶计算过程!C22,2)&amp;"+0.3"</f>
        <v>10.38+0.3</v>
      </c>
    </row>
    <row r="42" spans="1:3" x14ac:dyDescent="0.15">
      <c r="A42" s="24"/>
      <c r="B42" s="83" t="s">
        <v>299</v>
      </c>
      <c r="C42" s="70">
        <f>LOOKUP(A2,叶片数据输入!B4:B43,叶片数据输入!N4:N43)</f>
        <v>95</v>
      </c>
    </row>
    <row r="43" spans="1:3" x14ac:dyDescent="0.15">
      <c r="A43" s="24"/>
      <c r="B43" s="62" t="s">
        <v>300</v>
      </c>
      <c r="C43" s="34">
        <f>LOOKUP(A2,叶片数据输入!B4:B43,叶片数据输入!N4:N43)-1</f>
        <v>94</v>
      </c>
    </row>
    <row r="44" spans="1:3" x14ac:dyDescent="0.15">
      <c r="A44" s="24"/>
      <c r="B44" s="85" t="s">
        <v>301</v>
      </c>
      <c r="C44" s="80">
        <f>ROUND(C43*0.1,0)</f>
        <v>9</v>
      </c>
    </row>
    <row r="45" spans="1:3" x14ac:dyDescent="0.15">
      <c r="A45" s="24"/>
    </row>
    <row r="46" spans="1:3" x14ac:dyDescent="0.15">
      <c r="A46" s="24"/>
    </row>
    <row r="47" spans="1:3" x14ac:dyDescent="0.15">
      <c r="A47" s="24"/>
    </row>
    <row r="48" spans="1:3" x14ac:dyDescent="0.15">
      <c r="A48" s="24"/>
    </row>
    <row r="49" spans="1:1" x14ac:dyDescent="0.15">
      <c r="A49" s="24"/>
    </row>
    <row r="50" spans="1:1" x14ac:dyDescent="0.15">
      <c r="A50" s="24"/>
    </row>
    <row r="51" spans="1:1" x14ac:dyDescent="0.15">
      <c r="A51" s="24"/>
    </row>
    <row r="52" spans="1:1" x14ac:dyDescent="0.15">
      <c r="A52" s="24"/>
    </row>
    <row r="53" spans="1:1" x14ac:dyDescent="0.15">
      <c r="A53" s="24"/>
    </row>
    <row r="54" spans="1:1" x14ac:dyDescent="0.15">
      <c r="A54" s="24"/>
    </row>
    <row r="55" spans="1:1" x14ac:dyDescent="0.15">
      <c r="A55" s="24"/>
    </row>
    <row r="56" spans="1:1" x14ac:dyDescent="0.15">
      <c r="A56" s="24"/>
    </row>
    <row r="57" spans="1:1" x14ac:dyDescent="0.15">
      <c r="A57" s="24"/>
    </row>
    <row r="58" spans="1:1" x14ac:dyDescent="0.15">
      <c r="A58" s="24"/>
    </row>
    <row r="59" spans="1:1" x14ac:dyDescent="0.15">
      <c r="A59" s="24"/>
    </row>
    <row r="60" spans="1:1" x14ac:dyDescent="0.15">
      <c r="A60" s="24"/>
    </row>
    <row r="61" spans="1:1" x14ac:dyDescent="0.15">
      <c r="A61" s="24"/>
    </row>
    <row r="62" spans="1:1" x14ac:dyDescent="0.15">
      <c r="A62" s="24"/>
    </row>
    <row r="71" spans="3:3" x14ac:dyDescent="0.15">
      <c r="C71" s="27"/>
    </row>
    <row r="72" spans="3:3" x14ac:dyDescent="0.15">
      <c r="C72" s="27"/>
    </row>
  </sheetData>
  <mergeCells count="1">
    <mergeCell ref="B1:C1"/>
  </mergeCells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版本说明</vt:lpstr>
      <vt:lpstr>叶片数据输入</vt:lpstr>
      <vt:lpstr>导叶计算过程</vt:lpstr>
      <vt:lpstr>动叶计算过程</vt:lpstr>
      <vt:lpstr>导叶绘图表</vt:lpstr>
      <vt:lpstr>首导叶绘图表</vt:lpstr>
      <vt:lpstr>末导叶绘图表</vt:lpstr>
      <vt:lpstr>末导叶根绘图表</vt:lpstr>
      <vt:lpstr>动叶片绘图表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fangmiao</cp:lastModifiedBy>
  <dcterms:created xsi:type="dcterms:W3CDTF">1996-12-17T01:32:42Z</dcterms:created>
  <dcterms:modified xsi:type="dcterms:W3CDTF">2022-10-16T05:30:57Z</dcterms:modified>
</cp:coreProperties>
</file>