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 " sheetId="1" state="visible" r:id="rId2"/>
    <sheet name="Scenario 1 " sheetId="2" state="visible" r:id="rId3"/>
    <sheet name="Scenario 2 " sheetId="3" state="visible" r:id="rId4"/>
    <sheet name="Scenario 3 " sheetId="4" state="visible" r:id="rId5"/>
    <sheet name="Scenario 4 " sheetId="5" state="visible" r:id="rId6"/>
    <sheet name="Sensitivity of An. " sheetId="6" state="visible" r:id="rId7"/>
    <sheet name="_xltb_storage_" sheetId="7" state="hidden" r:id="rId8"/>
    <sheet name="Graphs 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<sst xmlns="http://schemas.openxmlformats.org/spreadsheetml/2006/main" count="1460" uniqueCount="231">
  <si>
    <t xml:space="preserve">Non-price related inputs </t>
  </si>
  <si>
    <t xml:space="preserve">Price related inputs </t>
  </si>
  <si>
    <t xml:space="preserve">Capital expenditure calculations </t>
  </si>
  <si>
    <t xml:space="preserve">Price of ACBM to meet annual capital and operating expenditures with debt and equity recovery accounted for (USD/kg)</t>
  </si>
  <si>
    <t xml:space="preserve">Minimum capital expenditures </t>
  </si>
  <si>
    <t xml:space="preserve">Capital expenditures with debt and equity recovery accounted for  </t>
  </si>
  <si>
    <t xml:space="preserve">Minimum annual operating costs </t>
  </si>
  <si>
    <t xml:space="preserve">Minimum price of ACBM to meet annual operating expenses (USD/kg)</t>
  </si>
  <si>
    <t xml:space="preserve">Minimum annual capital and operating expenditures </t>
  </si>
  <si>
    <t xml:space="preserve">Minimum price of ACBM to meet annual capital and operating expenses (USD/kg)</t>
  </si>
  <si>
    <t xml:space="preserve">Operation Factors </t>
  </si>
  <si>
    <t xml:space="preserve">Equipment </t>
  </si>
  <si>
    <t xml:space="preserve">Batch time justification calculation </t>
  </si>
  <si>
    <t xml:space="preserve">inoculum concentration (cells/ml)</t>
  </si>
  <si>
    <t xml:space="preserve">bioreactor unit costs (USD/m^3)</t>
  </si>
  <si>
    <t xml:space="preserve">number cells in inoculum bioreactor </t>
  </si>
  <si>
    <t xml:space="preserve">Desired number of cells in seed bioreactor </t>
  </si>
  <si>
    <t xml:space="preserve">Time in seed bioreactor to reach desired number of cells (h)</t>
  </si>
  <si>
    <t xml:space="preserve">Growth phase time in bioreactor  (h)</t>
  </si>
  <si>
    <t xml:space="preserve">Number of cells in seed bioreator </t>
  </si>
  <si>
    <t xml:space="preserve">Desired number of cells in bioreactor </t>
  </si>
  <si>
    <t xml:space="preserve">Cell popu;ation as time progresses </t>
  </si>
  <si>
    <t xml:space="preserve">Sensitivity Analysis (Does not feed into equations) </t>
  </si>
  <si>
    <t xml:space="preserve"> inoculum bioreactor  volume (l)</t>
  </si>
  <si>
    <t xml:space="preserve">Percentage of change in capital expentures (25% decrease)</t>
  </si>
  <si>
    <t xml:space="preserve">Seed bioreator volume </t>
  </si>
  <si>
    <t xml:space="preserve">bioreactor scale factor </t>
  </si>
  <si>
    <t xml:space="preserve">Seed bioreactor (cell/ml) </t>
  </si>
  <si>
    <t xml:space="preserve">Average single cell volume (m^3/ cell)</t>
  </si>
  <si>
    <t xml:space="preserve">Bioreactor volume (m^3)</t>
  </si>
  <si>
    <t xml:space="preserve">Average single cell density (kg/m^3)</t>
  </si>
  <si>
    <t xml:space="preserve">Bioreactor working volume (l)</t>
  </si>
  <si>
    <t xml:space="preserve">Annual operating time (h)</t>
  </si>
  <si>
    <t xml:space="preserve">Desired and achieveable  cell concentration (cell/ml) </t>
  </si>
  <si>
    <t xml:space="preserve">Media </t>
  </si>
  <si>
    <t xml:space="preserve">Desired mass of meat produced (kg)</t>
  </si>
  <si>
    <t xml:space="preserve">Basal media  (USD/l) </t>
  </si>
  <si>
    <t xml:space="preserve">Adjusted value factor for bioreactor </t>
  </si>
  <si>
    <t xml:space="preserve">AA2P(ascorbic acid 2-phosphate) (USD/g )</t>
  </si>
  <si>
    <t xml:space="preserve">Lang factor </t>
  </si>
  <si>
    <r>
      <rPr>
        <sz val="11"/>
        <color rgb="FF000000"/>
        <rFont val="Calibri"/>
        <family val="2"/>
        <charset val="1"/>
      </rPr>
      <t xml:space="preserve">NAHCO</t>
    </r>
    <r>
      <rPr>
        <sz val="9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(USD/g)</t>
    </r>
  </si>
  <si>
    <t xml:space="preserve">maturation  time (h)</t>
  </si>
  <si>
    <t xml:space="preserve">Sodium selenite (USD/g)</t>
  </si>
  <si>
    <t xml:space="preserve">Desired mass of meat produced </t>
  </si>
  <si>
    <t xml:space="preserve">Insulin (USD/g)</t>
  </si>
  <si>
    <t xml:space="preserve">Transferrin (USD/g)</t>
  </si>
  <si>
    <t xml:space="preserve">Holding tank scale factor </t>
  </si>
  <si>
    <t xml:space="preserve">FGF-2 (USD/g)</t>
  </si>
  <si>
    <t xml:space="preserve">hours per doubling (h)</t>
  </si>
  <si>
    <t xml:space="preserve">Fixed manufacturing costs factor </t>
  </si>
  <si>
    <t xml:space="preserve">TGF-b§ (USD/g)</t>
  </si>
  <si>
    <t xml:space="preserve">Time before maturation (h) = </t>
  </si>
  <si>
    <t xml:space="preserve">batch time (h) =</t>
  </si>
  <si>
    <t xml:space="preserve">Cell attributes </t>
  </si>
  <si>
    <t xml:space="preserve">Amount of bioreactors </t>
  </si>
  <si>
    <t xml:space="preserve">Percentage of change in operating costs (25% decrease)</t>
  </si>
  <si>
    <t xml:space="preserve">Total volume of occupied by cells </t>
  </si>
  <si>
    <t xml:space="preserve">cell mass per batch (kg)</t>
  </si>
  <si>
    <t xml:space="preserve">batches a year per bioreactor </t>
  </si>
  <si>
    <t xml:space="preserve">Annual ACBM per bioreactor </t>
  </si>
  <si>
    <t xml:space="preserve">Oxygen (USD/ton)</t>
  </si>
  <si>
    <t xml:space="preserve">Glucose (mol/l)</t>
  </si>
  <si>
    <t xml:space="preserve">Glucose consumption rate per cell (mol/h cell)</t>
  </si>
  <si>
    <t xml:space="preserve">Electricity </t>
  </si>
  <si>
    <t xml:space="preserve">Rate of oxygen consumption per cell (mol/h cell)</t>
  </si>
  <si>
    <t xml:space="preserve">natural gas cost (dollars per 1000 ft^3)</t>
  </si>
  <si>
    <t xml:space="preserve">Natural gas (cents per kWh)</t>
  </si>
  <si>
    <t xml:space="preserve">FGF-2  (g/L )</t>
  </si>
  <si>
    <t xml:space="preserve">bioreactors needed for target production =</t>
  </si>
  <si>
    <t xml:space="preserve">Components other than basal media </t>
  </si>
  <si>
    <t xml:space="preserve">Annual batches </t>
  </si>
  <si>
    <t xml:space="preserve">AA2P(ascorbic acid 2-phosphate) (g/L )</t>
  </si>
  <si>
    <t xml:space="preserve">Production worker hourly rate (USD/h)</t>
  </si>
  <si>
    <r>
      <rPr>
        <sz val="11"/>
        <color rgb="FF000000"/>
        <rFont val="Calibri"/>
        <family val="2"/>
        <charset val="1"/>
      </rPr>
      <t xml:space="preserve">NAHCO</t>
    </r>
    <r>
      <rPr>
        <sz val="9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(g/L )</t>
    </r>
  </si>
  <si>
    <t xml:space="preserve">Fixed equipment costs </t>
  </si>
  <si>
    <t xml:space="preserve">Sodium selenite  (g/L )</t>
  </si>
  <si>
    <t xml:space="preserve">Bioreactor  costs </t>
  </si>
  <si>
    <t xml:space="preserve">Insulin  (g/L )</t>
  </si>
  <si>
    <t xml:space="preserve">Utility </t>
  </si>
  <si>
    <t xml:space="preserve">bioreactors </t>
  </si>
  <si>
    <t xml:space="preserve">Total bioreactor equipment costs (USD)</t>
  </si>
  <si>
    <t xml:space="preserve">Total fixed bioreactor costs (USD)</t>
  </si>
  <si>
    <t xml:space="preserve">Transferrin  (g/L )</t>
  </si>
  <si>
    <t xml:space="preserve">Process water cost (USD/m^3)</t>
  </si>
  <si>
    <t xml:space="preserve">Wastewater filtration treatement costs (USD/m^3)</t>
  </si>
  <si>
    <t xml:space="preserve">TGF-b§  (g/L )</t>
  </si>
  <si>
    <t xml:space="preserve">Biological oxidation of waste water costs (USD/m^3)</t>
  </si>
  <si>
    <t xml:space="preserve">Percentage of change in capital expenditures (25% increase)</t>
  </si>
  <si>
    <t xml:space="preserve">Density of media (kg/l)</t>
  </si>
  <si>
    <t xml:space="preserve">Percentage of oxygen in initial charge (%ww)</t>
  </si>
  <si>
    <t xml:space="preserve">molar mass of oxygen (kg/mol)</t>
  </si>
  <si>
    <t xml:space="preserve">Fixed equipment costs = </t>
  </si>
  <si>
    <t xml:space="preserve">Site Energy requirements </t>
  </si>
  <si>
    <t xml:space="preserve">Boiler energy efficiency </t>
  </si>
  <si>
    <t xml:space="preserve">Percentage of electricity self generated </t>
  </si>
  <si>
    <t xml:space="preserve">Percentage of electricity publically generated </t>
  </si>
  <si>
    <t xml:space="preserve">Percentage of electricity from solar </t>
  </si>
  <si>
    <t xml:space="preserve">Minimum energy requirements for ACBM production</t>
  </si>
  <si>
    <t xml:space="preserve">Temperature of water/media entering facility (˚C)</t>
  </si>
  <si>
    <t xml:space="preserve">Desired Temperature of media entering bioreactor (˚C)</t>
  </si>
  <si>
    <t xml:space="preserve">Specific heat of water (kWh/ kg (˚C))</t>
  </si>
  <si>
    <t xml:space="preserve">Energy efficiency of heating system </t>
  </si>
  <si>
    <t xml:space="preserve">Operating expense calculations </t>
  </si>
  <si>
    <t xml:space="preserve">Heat released per mol of oxygen consumed (kWh)</t>
  </si>
  <si>
    <t xml:space="preserve">Energy effciency of bioreactor cooling system </t>
  </si>
  <si>
    <t xml:space="preserve">Fixed manufacturing costs </t>
  </si>
  <si>
    <t xml:space="preserve">Percentage of change in operating costs (25% increase)</t>
  </si>
  <si>
    <t xml:space="preserve">Specific heat of ACBM</t>
  </si>
  <si>
    <t xml:space="preserve">Temperature of ACBM in bioreactor (˚C)</t>
  </si>
  <si>
    <t xml:space="preserve">Temperature of cooled ACBM (˚C)</t>
  </si>
  <si>
    <t xml:space="preserve">Annual media costs </t>
  </si>
  <si>
    <t xml:space="preserve">Growth phase (h)</t>
  </si>
  <si>
    <t xml:space="preserve">cell population </t>
  </si>
  <si>
    <t xml:space="preserve">Glucose consumption rate (mol/h)</t>
  </si>
  <si>
    <t xml:space="preserve">Glucose consumed per doubling period (mol)</t>
  </si>
  <si>
    <t xml:space="preserve">Total glucose consumed in growth phase (mol)</t>
  </si>
  <si>
    <t xml:space="preserve">Labor cost factors </t>
  </si>
  <si>
    <t xml:space="preserve">Production operators required </t>
  </si>
  <si>
    <t xml:space="preserve">Centrifugal pumps</t>
  </si>
  <si>
    <t xml:space="preserve">Plate filters</t>
  </si>
  <si>
    <t xml:space="preserve">Media holding vessel</t>
  </si>
  <si>
    <t xml:space="preserve">Heat exchanger</t>
  </si>
  <si>
    <t xml:space="preserve">Inoculum bioreactor</t>
  </si>
  <si>
    <t xml:space="preserve">Seed bioreactor</t>
  </si>
  <si>
    <t xml:space="preserve">Bioreactors</t>
  </si>
  <si>
    <t xml:space="preserve">Glucose consumed in maturation phase (mol)</t>
  </si>
  <si>
    <t xml:space="preserve">Total glucose consumed per batch (mol)</t>
  </si>
  <si>
    <t xml:space="preserve">Total glucose in charge  (mol)</t>
  </si>
  <si>
    <t xml:space="preserve">Media charges per batch </t>
  </si>
  <si>
    <t xml:space="preserve">Volume of media required per batch (L)</t>
  </si>
  <si>
    <t xml:space="preserve">Positive displacement pump</t>
  </si>
  <si>
    <t xml:space="preserve">labor correction factor </t>
  </si>
  <si>
    <t xml:space="preserve">Media costs (USD/l)</t>
  </si>
  <si>
    <t xml:space="preserve">Country effect </t>
  </si>
  <si>
    <t xml:space="preserve">Supervising and clerical assistance </t>
  </si>
  <si>
    <t xml:space="preserve">Advanced technology and automating </t>
  </si>
  <si>
    <t xml:space="preserve">Annual volume of media (L)</t>
  </si>
  <si>
    <t xml:space="preserve">Skilled and qualified level of the personnel </t>
  </si>
  <si>
    <t xml:space="preserve">Social benefits </t>
  </si>
  <si>
    <t xml:space="preserve">Annual media costs (USD)</t>
  </si>
  <si>
    <t xml:space="preserve">Overtime work </t>
  </si>
  <si>
    <t xml:space="preserve">Amount of equipment </t>
  </si>
  <si>
    <t xml:space="preserve">Annual oxygen costs </t>
  </si>
  <si>
    <t xml:space="preserve">Growth phase hours </t>
  </si>
  <si>
    <t xml:space="preserve">oxygen uptake rate (mol/h)</t>
  </si>
  <si>
    <t xml:space="preserve">oxygen consumed per doubling (mol)</t>
  </si>
  <si>
    <t xml:space="preserve">Total oxygen consumed in growth phase(mol)</t>
  </si>
  <si>
    <t xml:space="preserve">See calculation </t>
  </si>
  <si>
    <t xml:space="preserve">financing </t>
  </si>
  <si>
    <t xml:space="preserve">Debt ratio (%)</t>
  </si>
  <si>
    <t xml:space="preserve">Interest rate on Debt (%/y)</t>
  </si>
  <si>
    <t xml:space="preserve">Economic life (y)</t>
  </si>
  <si>
    <t xml:space="preserve">Interest cost of equity (%/y)</t>
  </si>
  <si>
    <t xml:space="preserve">Oxygen consumed in maturation phase (mol)</t>
  </si>
  <si>
    <t xml:space="preserve">Initial oxygen per batch (mol)</t>
  </si>
  <si>
    <t xml:space="preserve">Oxygen consumption per batch (mol)</t>
  </si>
  <si>
    <t xml:space="preserve">Annual oxygen consumption (ton)</t>
  </si>
  <si>
    <t xml:space="preserve">Annual oxygen costs (USD)</t>
  </si>
  <si>
    <t xml:space="preserve">Base Electricity costs </t>
  </si>
  <si>
    <t xml:space="preserve">Cost of energy per kWh from public supplier (USD/kWh) </t>
  </si>
  <si>
    <t xml:space="preserve">Cost of self generated energy</t>
  </si>
  <si>
    <t xml:space="preserve">Cost of electricity (USD/kWh) </t>
  </si>
  <si>
    <t xml:space="preserve">Annual Energy costs </t>
  </si>
  <si>
    <t xml:space="preserve">Energy required to heat media (kWh)</t>
  </si>
  <si>
    <t xml:space="preserve">Energy required to cool bioreactors (kWh)</t>
  </si>
  <si>
    <t xml:space="preserve">Energy required to cool ACBM</t>
  </si>
  <si>
    <t xml:space="preserve">Total energy requirement (kWh)</t>
  </si>
  <si>
    <t xml:space="preserve">Annual energy costs</t>
  </si>
  <si>
    <t xml:space="preserve">Annual labor costs </t>
  </si>
  <si>
    <t xml:space="preserve">Required manpower for operation </t>
  </si>
  <si>
    <t xml:space="preserve">Labor cost correction factor </t>
  </si>
  <si>
    <t xml:space="preserve">Non-electricity utility costs </t>
  </si>
  <si>
    <t xml:space="preserve">Process water used (m^3)</t>
  </si>
  <si>
    <t xml:space="preserve">Process water costs (USD)</t>
  </si>
  <si>
    <t xml:space="preserve">Wastewater filtration cost (USD)</t>
  </si>
  <si>
    <t xml:space="preserve">Biological oxidation cost (USD)</t>
  </si>
  <si>
    <t xml:space="preserve">Annual process water and wastewater treatment costs </t>
  </si>
  <si>
    <t xml:space="preserve">Financing </t>
  </si>
  <si>
    <t xml:space="preserve">Equity ratio (%)</t>
  </si>
  <si>
    <t xml:space="preserve">Cost of money (%/y)</t>
  </si>
  <si>
    <t xml:space="preserve">Total cost of bioreactors (USD)</t>
  </si>
  <si>
    <t xml:space="preserve">Total debt costs (USD)</t>
  </si>
  <si>
    <t xml:space="preserve">Total equity costs (USD)</t>
  </si>
  <si>
    <t xml:space="preserve">Capital Recovery factor (Debt)</t>
  </si>
  <si>
    <t xml:space="preserve">Annual debt payment (USD/y)</t>
  </si>
  <si>
    <t xml:space="preserve">Capital recovery factor (capital)</t>
  </si>
  <si>
    <t xml:space="preserve">Annual equity recovery (USD/y)</t>
  </si>
  <si>
    <t xml:space="preserve">Minimum annual cost of capital expenditures </t>
  </si>
  <si>
    <t xml:space="preserve">Cost of equity (%/y)</t>
  </si>
  <si>
    <t xml:space="preserve">Total annual payment capital expenditure payment</t>
  </si>
  <si>
    <t xml:space="preserve">Cost of equatity (%/y)</t>
  </si>
  <si>
    <t xml:space="preserve">Minimum capital expenditures (25% decrease)</t>
  </si>
  <si>
    <t xml:space="preserve">Minimum annual operating costs (25% decrease)</t>
  </si>
  <si>
    <t xml:space="preserve">Minimum capital expenditures (25% increase)</t>
  </si>
  <si>
    <t xml:space="preserve">Minimum annual operating costs (25% increase) </t>
  </si>
  <si>
    <t xml:space="preserve">Minimum capital expenditures (Standard settings)</t>
  </si>
  <si>
    <t xml:space="preserve">Minimum annual operating costs (Standard settings)</t>
  </si>
  <si>
    <t xml:space="preserve">NAHCO3 (g/L )</t>
  </si>
  <si>
    <t xml:space="preserve">Years of operation </t>
  </si>
  <si>
    <t xml:space="preserve">NAHCO3 (USD/g)</t>
  </si>
  <si>
    <t xml:space="preserve">Inoculum bioreactor(n)</t>
  </si>
  <si>
    <t xml:space="preserve">Plate filters(n)</t>
  </si>
  <si>
    <t xml:space="preserve">Seed bioreactor(n)</t>
  </si>
  <si>
    <t xml:space="preserve">Heat exchanger(n)</t>
  </si>
  <si>
    <t xml:space="preserve">Media holding vessel(n)</t>
  </si>
  <si>
    <t xml:space="preserve">Centrifugal pumps (n)</t>
  </si>
  <si>
    <t xml:space="preserve">XL Toolbox Settings</t>
  </si>
  <si>
    <t xml:space="preserve">export_preset</t>
  </si>
  <si>
    <t xml:space="preserve">&lt;?xml version="1.0" encoding="utf-16"?&gt;_x005F_x000D_
&lt;Preset xmlns:xsi="http://www.w3.org/2001/XMLSchema-instance" xmlns:xsd="http://www.w3.org/2001/XMLSchema"&gt;_x005F_x000D_
  &lt;Name&gt;Png, 300 dpi, RGB, Transparent canvas&lt;/Name&gt;_x005F_x000D_
  &lt;Dpi&gt;300&lt;/Dpi&gt;_x005F_x000D_
  &lt;FileType&gt;Png&lt;/FileType&gt;_x005F_x000D_
  &lt;ColorSpace&gt;Rgb&lt;/ColorSpace&gt;_x005F_x000D_
  &lt;Transparency&gt;TransparentCanvas&lt;/Transparency&gt;_x005F_x000D_
  &lt;UseColorProfile&gt;false&lt;/UseColorProfile&gt;_x005F_x000D_
  &lt;ColorProfile&gt;sRGB Color Space Profile&lt;/ColorProfile&gt;_x005F_x000D_
&lt;/Preset&gt;</t>
  </si>
  <si>
    <t xml:space="preserve">export_path</t>
  </si>
  <si>
    <t xml:space="preserve">C:\Users\derri\Desktop\Doctoral Degree\clean meat\Annual operating exp sen.png</t>
  </si>
  <si>
    <t xml:space="preserve">Operation Parameter (Capital costs) </t>
  </si>
  <si>
    <t xml:space="preserve">25% Decrease in model variable </t>
  </si>
  <si>
    <t xml:space="preserve">25% Increase in model variable </t>
  </si>
  <si>
    <t xml:space="preserve">Bioreactor scale factor </t>
  </si>
  <si>
    <t xml:space="preserve">Adjusted value factor </t>
  </si>
  <si>
    <t xml:space="preserve">Bioreactor unit costs</t>
  </si>
  <si>
    <t xml:space="preserve">Hours per doubling </t>
  </si>
  <si>
    <t xml:space="preserve">Maturation  time </t>
  </si>
  <si>
    <t xml:space="preserve">Bioreactor working volume</t>
  </si>
  <si>
    <t xml:space="preserve">Achievable  cell concentration</t>
  </si>
  <si>
    <t xml:space="preserve">Annual operating time </t>
  </si>
  <si>
    <t xml:space="preserve">Average single cell density</t>
  </si>
  <si>
    <t xml:space="preserve">Average single cell volume </t>
  </si>
  <si>
    <t xml:space="preserve">Operation Parameter (Annual operating expenses) </t>
  </si>
  <si>
    <t xml:space="preserve">Glucose consumption rate per cell </t>
  </si>
  <si>
    <t xml:space="preserve">FGF-2  conc.</t>
  </si>
  <si>
    <t xml:space="preserve">FGF-2 cost </t>
  </si>
  <si>
    <t xml:space="preserve">Bioreactor working volume </t>
  </si>
  <si>
    <t xml:space="preserve">Glucose conc. </t>
  </si>
  <si>
    <t xml:space="preserve">Average single cell density 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</si>
</sst>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#,##0.00"/>
    <numFmt numFmtId="166" formatCode="_(* #,##0.00_);_(* \(#,##0.00\);_(* \-??_);_(@_)"/>
    <numFmt numFmtId="167" formatCode="0.00E+00"/>
    <numFmt numFmtId="168" formatCode="_(\$* #,##0.00_);_(\$* \(#,##0.00\);_(\$* \-??_);_(@_)"/>
    <numFmt numFmtId="169" formatCode="\$#,##0.00"/>
    <numFmt numFmtId="170" formatCode="0"/>
    <numFmt numFmtId="171" formatCode="0%"/>
    <numFmt numFmtId="172" formatCode="0.00%"/>
    <numFmt numFmtId="173" formatCode="_(* #,##0_);_(* \(#,##0\);_(* \-??_);_(@_)"/>
    <numFmt numFmtId="174" formatCode="#,##0"/>
    <numFmt numFmtId="175" formatCode="0.00"/>
    <numFmt numFmtId="176" formatCode="0.0%"/>
    <numFmt numFmtId="177" formatCode="_(* #,##0.000_);_(* \(#,##0.000\);_(* \-??_);_(@_)"/>
    <numFmt numFmtId="178" formatCode="\$#,##0"/>
    <numFmt numFmtId="179" formatCode="_(* #,##0.0000000_);_(* \(#,##0.0000000\);_(* \-??_);_(@_)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9"/>
      <color rgb="FF40404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15" applyFont="true" applyBorder="true" applyAlignment="true" applyProtection="true">
      <alignment horizontal="left" vertical="bottom" textRotation="0" wrapText="false" indent="13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'Graphs '!$D$2</c:f>
              <c:strCache>
                <c:ptCount val="1"/>
                <c:pt idx="0">
                  <c:v>25% Decrease in model variable </c:v>
                </c:pt>
              </c:strCache>
            </c:strRef>
          </c:tx>
          <c:spPr>
            <a:solidFill>
              <a:srgbClr val="4472c4">
                <a:alpha val="7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'Graphs '!$C$3:$C$13</c:f>
              <c:strCache>
                <c:ptCount val="11"/>
                <c:pt idx="0">
                  <c:v>Bioreactor scale factor </c:v>
                </c:pt>
                <c:pt idx="1">
                  <c:v>Adjusted value factor </c:v>
                </c:pt>
                <c:pt idx="2">
                  <c:v>Bioreactor unit costs</c:v>
                </c:pt>
                <c:pt idx="3">
                  <c:v>Lang factor </c:v>
                </c:pt>
                <c:pt idx="4">
                  <c:v>Hours per doubling </c:v>
                </c:pt>
                <c:pt idx="5">
                  <c:v>Maturation  time </c:v>
                </c:pt>
                <c:pt idx="6">
                  <c:v>Bioreactor working volume</c:v>
                </c:pt>
                <c:pt idx="7">
                  <c:v>Achievable  cell concentration</c:v>
                </c:pt>
                <c:pt idx="8">
                  <c:v>Annual operating time </c:v>
                </c:pt>
                <c:pt idx="9">
                  <c:v>Average single cell density</c:v>
                </c:pt>
                <c:pt idx="10">
                  <c:v>Average single cell volume </c:v>
                </c:pt>
              </c:strCache>
            </c:strRef>
          </c:cat>
          <c:val>
            <c:numRef>
              <c:f>'Graphs '!$D$3:$D$13</c:f>
              <c:numCache>
                <c:formatCode>General</c:formatCode>
                <c:ptCount val="11"/>
                <c:pt idx="0">
                  <c:v>-0.361963534320409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-0.142647248503661</c:v>
                </c:pt>
                <c:pt idx="5">
                  <c:v>-0.107352751496339</c:v>
                </c:pt>
                <c:pt idx="6">
                  <c:v>0.10195947346779</c:v>
                </c:pt>
                <c:pt idx="7">
                  <c:v>0.309570443988403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'Graphs '!$E$2</c:f>
              <c:strCache>
                <c:ptCount val="1"/>
                <c:pt idx="0">
                  <c:v>25% Increase in model variable 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'Graphs '!$C$3:$C$13</c:f>
              <c:strCache>
                <c:ptCount val="11"/>
                <c:pt idx="0">
                  <c:v>Bioreactor scale factor </c:v>
                </c:pt>
                <c:pt idx="1">
                  <c:v>Adjusted value factor </c:v>
                </c:pt>
                <c:pt idx="2">
                  <c:v>Bioreactor unit costs</c:v>
                </c:pt>
                <c:pt idx="3">
                  <c:v>Lang factor </c:v>
                </c:pt>
                <c:pt idx="4">
                  <c:v>Hours per doubling </c:v>
                </c:pt>
                <c:pt idx="5">
                  <c:v>Maturation  time </c:v>
                </c:pt>
                <c:pt idx="6">
                  <c:v>Bioreactor working volume</c:v>
                </c:pt>
                <c:pt idx="7">
                  <c:v>Achievable  cell concentration</c:v>
                </c:pt>
                <c:pt idx="8">
                  <c:v>Annual operating time </c:v>
                </c:pt>
                <c:pt idx="9">
                  <c:v>Average single cell density</c:v>
                </c:pt>
                <c:pt idx="10">
                  <c:v>Average single cell volume </c:v>
                </c:pt>
              </c:strCache>
            </c:strRef>
          </c:cat>
          <c:val>
            <c:numRef>
              <c:f>'Graphs '!$E$3:$E$13</c:f>
              <c:numCache>
                <c:formatCode>General</c:formatCode>
                <c:ptCount val="11"/>
                <c:pt idx="0">
                  <c:v>0.56730853766308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0.14264724850366</c:v>
                </c:pt>
                <c:pt idx="5">
                  <c:v>0.107352751496339</c:v>
                </c:pt>
                <c:pt idx="6">
                  <c:v>-0.0727463748110136</c:v>
                </c:pt>
                <c:pt idx="7">
                  <c:v>-0.188940842633557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</c:numCache>
            </c:numRef>
          </c:val>
        </c:ser>
        <c:gapWidth val="50"/>
        <c:overlap val="100"/>
        <c:axId val="41707939"/>
        <c:axId val="30663840"/>
      </c:barChart>
      <c:catAx>
        <c:axId val="417079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Model variables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663840"/>
        <c:crosses val="autoZero"/>
        <c:auto val="1"/>
        <c:lblAlgn val="ctr"/>
        <c:lblOffset val="100"/>
        <c:noMultiLvlLbl val="0"/>
      </c:catAx>
      <c:valAx>
        <c:axId val="3066384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Percentage of change in capitial costs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70793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'Graphs '!$D$17</c:f>
              <c:strCache>
                <c:ptCount val="1"/>
                <c:pt idx="0">
                  <c:v>25% Decrease in model variable </c:v>
                </c:pt>
              </c:strCache>
            </c:strRef>
          </c:tx>
          <c:spPr>
            <a:solidFill>
              <a:srgbClr val="4472c4">
                <a:alpha val="7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'Graphs '!$C$18:$C$27</c:f>
              <c:strCache>
                <c:ptCount val="10"/>
                <c:pt idx="0">
                  <c:v>Glucose consumption rate per cell </c:v>
                </c:pt>
                <c:pt idx="1">
                  <c:v>FGF-2  conc.</c:v>
                </c:pt>
                <c:pt idx="2">
                  <c:v>FGF-2 cost </c:v>
                </c:pt>
                <c:pt idx="3">
                  <c:v>Maturation  time </c:v>
                </c:pt>
                <c:pt idx="4">
                  <c:v>Hours per doubling </c:v>
                </c:pt>
                <c:pt idx="5">
                  <c:v>Achievable  cell concentration</c:v>
                </c:pt>
                <c:pt idx="6">
                  <c:v>Bioreactor working volume </c:v>
                </c:pt>
                <c:pt idx="7">
                  <c:v>Glucose conc. </c:v>
                </c:pt>
                <c:pt idx="8">
                  <c:v>Average single cell density </c:v>
                </c:pt>
                <c:pt idx="9">
                  <c:v>Average single cell volume </c:v>
                </c:pt>
              </c:strCache>
            </c:strRef>
          </c:cat>
          <c:val>
            <c:numRef>
              <c:f>'Graphs '!$D$18:$D$27</c:f>
              <c:numCache>
                <c:formatCode>General</c:formatCode>
                <c:ptCount val="10"/>
                <c:pt idx="0">
                  <c:v>-0.249994660332044</c:v>
                </c:pt>
                <c:pt idx="1">
                  <c:v>-0.237564574319464</c:v>
                </c:pt>
                <c:pt idx="2">
                  <c:v>-0.237557294776142</c:v>
                </c:pt>
                <c:pt idx="3">
                  <c:v>-0.221828580707914</c:v>
                </c:pt>
                <c:pt idx="4">
                  <c:v>-0.0281841536721815</c:v>
                </c:pt>
                <c:pt idx="5">
                  <c:v>0.0375670387596748</c:v>
                </c:pt>
                <c:pt idx="6">
                  <c:v>0.0375736505552409</c:v>
                </c:pt>
                <c:pt idx="7">
                  <c:v>0.333309228174975</c:v>
                </c:pt>
                <c:pt idx="8">
                  <c:v>0.33332362084795</c:v>
                </c:pt>
                <c:pt idx="9">
                  <c:v>0.33332362084795</c:v>
                </c:pt>
              </c:numCache>
            </c:numRef>
          </c:val>
        </c:ser>
        <c:ser>
          <c:idx val="1"/>
          <c:order val="1"/>
          <c:tx>
            <c:strRef>
              <c:f>'Graphs '!$E$17</c:f>
              <c:strCache>
                <c:ptCount val="1"/>
                <c:pt idx="0">
                  <c:v>25% Increase in model variable 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'Graphs '!$C$18:$C$27</c:f>
              <c:strCache>
                <c:ptCount val="10"/>
                <c:pt idx="0">
                  <c:v>Glucose consumption rate per cell </c:v>
                </c:pt>
                <c:pt idx="1">
                  <c:v>FGF-2  conc.</c:v>
                </c:pt>
                <c:pt idx="2">
                  <c:v>FGF-2 cost </c:v>
                </c:pt>
                <c:pt idx="3">
                  <c:v>Maturation  time </c:v>
                </c:pt>
                <c:pt idx="4">
                  <c:v>Hours per doubling </c:v>
                </c:pt>
                <c:pt idx="5">
                  <c:v>Achievable  cell concentration</c:v>
                </c:pt>
                <c:pt idx="6">
                  <c:v>Bioreactor working volume </c:v>
                </c:pt>
                <c:pt idx="7">
                  <c:v>Glucose conc. </c:v>
                </c:pt>
                <c:pt idx="8">
                  <c:v>Average single cell density </c:v>
                </c:pt>
                <c:pt idx="9">
                  <c:v>Average single cell volume </c:v>
                </c:pt>
              </c:strCache>
            </c:strRef>
          </c:cat>
          <c:val>
            <c:numRef>
              <c:f>'Graphs '!$E$18:$E$27</c:f>
              <c:numCache>
                <c:formatCode>General</c:formatCode>
                <c:ptCount val="10"/>
                <c:pt idx="0">
                  <c:v>0.249980101245401</c:v>
                </c:pt>
                <c:pt idx="1">
                  <c:v>0.237550015232821</c:v>
                </c:pt>
                <c:pt idx="2">
                  <c:v>0.237557294776143</c:v>
                </c:pt>
                <c:pt idx="3">
                  <c:v>0.221814021621271</c:v>
                </c:pt>
                <c:pt idx="4">
                  <c:v>0.0281695945855391</c:v>
                </c:pt>
                <c:pt idx="5">
                  <c:v>-0.0225444694191797</c:v>
                </c:pt>
                <c:pt idx="6">
                  <c:v>-0.0225444694191797</c:v>
                </c:pt>
                <c:pt idx="7">
                  <c:v>-0.199997184174299</c:v>
                </c:pt>
                <c:pt idx="8">
                  <c:v>-0.200005819778084</c:v>
                </c:pt>
                <c:pt idx="9">
                  <c:v>-0.200005819778084</c:v>
                </c:pt>
              </c:numCache>
            </c:numRef>
          </c:val>
        </c:ser>
        <c:gapWidth val="50"/>
        <c:overlap val="100"/>
        <c:axId val="27917541"/>
        <c:axId val="59494823"/>
      </c:barChart>
      <c:catAx>
        <c:axId val="279175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Model variables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494823"/>
        <c:crosses val="autoZero"/>
        <c:auto val="1"/>
        <c:lblAlgn val="ctr"/>
        <c:lblOffset val="100"/>
        <c:noMultiLvlLbl val="0"/>
      </c:catAx>
      <c:valAx>
        <c:axId val="5949482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 Percentage of change in Annual operating costs </a:t>
                </a:r>
              </a:p>
            </c:rich>
          </c:tx>
          <c:layout>
            <c:manualLayout>
              <c:xMode val="edge"/>
              <c:yMode val="edge"/>
              <c:x val="0.0647663462453602"/>
              <c:y val="0.0191910000827198"/>
            </c:manualLayout>
          </c:layout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91754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333360</xdr:colOff>
      <xdr:row>1</xdr:row>
      <xdr:rowOff>42840</xdr:rowOff>
    </xdr:from>
    <xdr:to>
      <xdr:col>17</xdr:col>
      <xdr:colOff>255600</xdr:colOff>
      <xdr:row>19</xdr:row>
      <xdr:rowOff>189000</xdr:rowOff>
    </xdr:to>
    <xdr:graphicFrame>
      <xdr:nvGraphicFramePr>
        <xdr:cNvPr id="0" name="Chart 1"/>
        <xdr:cNvGraphicFramePr/>
      </xdr:nvGraphicFramePr>
      <xdr:xfrm>
        <a:off x="12010320" y="233280"/>
        <a:ext cx="7516800" cy="414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342720</xdr:colOff>
      <xdr:row>20</xdr:row>
      <xdr:rowOff>85680</xdr:rowOff>
    </xdr:from>
    <xdr:to>
      <xdr:col>17</xdr:col>
      <xdr:colOff>312840</xdr:colOff>
      <xdr:row>43</xdr:row>
      <xdr:rowOff>55800</xdr:rowOff>
    </xdr:to>
    <xdr:graphicFrame>
      <xdr:nvGraphicFramePr>
        <xdr:cNvPr id="1" name="Chart 2"/>
        <xdr:cNvGraphicFramePr/>
      </xdr:nvGraphicFramePr>
      <xdr:xfrm>
        <a:off x="12019680" y="4466880"/>
        <a:ext cx="7564680" cy="43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164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pane xSplit="0" ySplit="4" topLeftCell="A5" activePane="bottomLeft" state="frozen"/>
      <selection pane="topLeft" activeCell="L1" activeCellId="0" sqref="L1"/>
      <selection pane="bottomLeft" activeCell="J24" activeCellId="0" sqref="J2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.57"/>
    <col collapsed="false" customWidth="true" hidden="false" outlineLevel="0" max="4" min="4" style="0" width="25"/>
    <col collapsed="false" customWidth="true" hidden="false" outlineLevel="0" max="5" min="5" style="0" width="24.15"/>
    <col collapsed="false" customWidth="true" hidden="false" outlineLevel="0" max="6" min="6" style="0" width="31.71"/>
    <col collapsed="false" customWidth="true" hidden="false" outlineLevel="0" max="7" min="7" style="0" width="20.71"/>
    <col collapsed="false" customWidth="true" hidden="false" outlineLevel="0" max="8" min="8" style="0" width="30.71"/>
    <col collapsed="false" customWidth="true" hidden="false" outlineLevel="0" max="9" min="9" style="0" width="29.86"/>
    <col collapsed="false" customWidth="true" hidden="false" outlineLevel="0" max="10" min="10" style="1" width="48.71"/>
    <col collapsed="false" customWidth="true" hidden="false" outlineLevel="0" max="11" min="11" style="2" width="16.85"/>
    <col collapsed="false" customWidth="true" hidden="false" outlineLevel="0" max="13" min="13" style="1" width="48.71"/>
    <col collapsed="false" customWidth="true" hidden="false" outlineLevel="0" max="14" min="14" style="0" width="16.57"/>
    <col collapsed="false" customWidth="true" hidden="false" outlineLevel="0" max="15" min="15" style="0" width="9.14"/>
    <col collapsed="false" customWidth="true" hidden="false" outlineLevel="0" max="16" min="16" style="0" width="29.86"/>
    <col collapsed="false" customWidth="true" hidden="false" outlineLevel="0" max="17" min="17" style="0" width="28.3"/>
    <col collapsed="false" customWidth="true" hidden="false" outlineLevel="0" max="18" min="18" style="0" width="29.42"/>
    <col collapsed="false" customWidth="true" hidden="false" outlineLevel="0" max="19" min="19" style="3" width="21.57"/>
    <col collapsed="false" customWidth="true" hidden="false" outlineLevel="0" max="20" min="20" style="0" width="22.85"/>
    <col collapsed="false" customWidth="true" hidden="false" outlineLevel="0" max="21" min="21" style="0" width="22"/>
    <col collapsed="false" customWidth="true" hidden="false" outlineLevel="0" max="23" min="23" style="0" width="12.14"/>
    <col collapsed="false" customWidth="true" hidden="false" outlineLevel="0" max="24" min="24" style="0" width="18.14"/>
  </cols>
  <sheetData>
    <row r="2" customFormat="false" ht="19.5" hidden="false" customHeight="false" outlineLevel="0" collapsed="false">
      <c r="B2" s="4"/>
      <c r="C2" s="4"/>
      <c r="J2" s="5" t="s">
        <v>0</v>
      </c>
      <c r="M2" s="5" t="s">
        <v>1</v>
      </c>
      <c r="P2" s="6" t="s">
        <v>2</v>
      </c>
      <c r="Q2" s="6"/>
    </row>
    <row r="3" customFormat="false" ht="113.25" hidden="false" customHeight="false" outlineLevel="0" collapsed="false">
      <c r="B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  <c r="M3" s="9" t="s">
        <v>11</v>
      </c>
      <c r="P3" s="5" t="s">
        <v>12</v>
      </c>
      <c r="AA3" s="4"/>
      <c r="AB3" s="4"/>
      <c r="AC3" s="4"/>
    </row>
    <row r="4" customFormat="false" ht="28.5" hidden="false" customHeight="true" outlineLevel="0" collapsed="false">
      <c r="B4" s="10" t="n">
        <f aca="false">(F4+P162)/K11</f>
        <v>489585.482574653</v>
      </c>
      <c r="C4" s="11"/>
      <c r="D4" s="12" t="n">
        <f aca="false">Q42</f>
        <v>4051802825.29862</v>
      </c>
      <c r="E4" s="12" t="n">
        <f aca="false">P162*K104</f>
        <v>7146932501.12095</v>
      </c>
      <c r="F4" s="12" t="n">
        <f aca="false">P58+P88+P115+P135+P143+P151</f>
        <v>59239486044908</v>
      </c>
      <c r="G4" s="12" t="n">
        <f aca="false">F4/K11</f>
        <v>489582.52929676</v>
      </c>
      <c r="H4" s="12" t="n">
        <f aca="false">(D4/K104) +F4</f>
        <v>59239688635049.2</v>
      </c>
      <c r="I4" s="12" t="n">
        <f aca="false">H4/K11</f>
        <v>489584.203595448</v>
      </c>
      <c r="J4" s="13" t="s">
        <v>13</v>
      </c>
      <c r="K4" s="14" t="n">
        <f aca="false">10000000</f>
        <v>10000000</v>
      </c>
      <c r="M4" s="13" t="s">
        <v>14</v>
      </c>
      <c r="N4" s="11" t="n">
        <v>50000</v>
      </c>
      <c r="P4" s="15" t="s">
        <v>15</v>
      </c>
      <c r="Q4" s="16" t="s">
        <v>16</v>
      </c>
      <c r="R4" s="16" t="s">
        <v>17</v>
      </c>
      <c r="S4" s="17" t="s">
        <v>18</v>
      </c>
      <c r="T4" s="16" t="s">
        <v>19</v>
      </c>
      <c r="U4" s="16" t="s">
        <v>20</v>
      </c>
      <c r="V4" s="18" t="s">
        <v>21</v>
      </c>
      <c r="W4" s="18"/>
      <c r="X4" s="19"/>
    </row>
    <row r="5" customFormat="false" ht="13.8" hidden="false" customHeight="false" outlineLevel="0" collapsed="false">
      <c r="B5" s="20" t="s">
        <v>22</v>
      </c>
      <c r="C5" s="20"/>
      <c r="J5" s="13" t="s">
        <v>23</v>
      </c>
      <c r="K5" s="2" t="n">
        <v>2</v>
      </c>
      <c r="N5" s="11"/>
      <c r="P5" s="21" t="n">
        <f aca="false">K4*1000*K5</f>
        <v>20000000000</v>
      </c>
      <c r="Q5" s="22" t="n">
        <f aca="false">K6*1000*K7</f>
        <v>2000000000000</v>
      </c>
      <c r="R5" s="23" t="n">
        <f aca="false">IF(Q5&lt; P5,("Invalid input"),((LN(Q5/P5))/(LN(2)))*K26)</f>
        <v>159.452548554593</v>
      </c>
      <c r="S5" s="23" t="n">
        <f aca="false">IF(Q5&lt;P5,("Invalid input"),((LN(U5/T5))/(LN(2)))*K26)</f>
        <v>159.452548554593</v>
      </c>
      <c r="T5" s="22" t="n">
        <f aca="false">IF(Q5&lt;P5,("Invalid input"),Q5)</f>
        <v>2000000000000</v>
      </c>
      <c r="U5" s="22" t="n">
        <f aca="false">K10*1000*K9</f>
        <v>200000000000000</v>
      </c>
      <c r="V5" s="24" t="n">
        <v>0</v>
      </c>
      <c r="W5" s="25" t="n">
        <f aca="false">IF($U$5&gt;((2^(V5/$K$26))*$T$5),(2^(V5/$K$26))*$T$5, ("N/A"))</f>
        <v>2000000000000</v>
      </c>
      <c r="X5" s="22"/>
    </row>
    <row r="6" customFormat="false" ht="15" hidden="false" customHeight="true" outlineLevel="0" collapsed="false">
      <c r="B6" s="26" t="s">
        <v>24</v>
      </c>
      <c r="C6" s="26"/>
      <c r="J6" s="13" t="s">
        <v>25</v>
      </c>
      <c r="K6" s="2" t="n">
        <v>200</v>
      </c>
      <c r="P6" s="27"/>
      <c r="Q6" s="24"/>
      <c r="R6" s="28"/>
      <c r="S6" s="22"/>
      <c r="T6" s="24"/>
      <c r="U6" s="24"/>
      <c r="V6" s="28" t="n">
        <f aca="false">IF(V5+$K$26&lt;=$S$5,V5+$K$26,IF(V5=("N/A"),("N/A"),$S$5))</f>
        <v>24</v>
      </c>
      <c r="W6" s="25" t="n">
        <f aca="false">IF(($U$5)&gt;((2^(V6/$K$26))*$T$5),(2^(V6/$K$26))*$T$5, "N/A")</f>
        <v>4000000000000</v>
      </c>
      <c r="X6" s="24"/>
    </row>
    <row r="7" customFormat="false" ht="13.8" hidden="false" customHeight="false" outlineLevel="0" collapsed="false">
      <c r="B7" s="29" t="s">
        <v>26</v>
      </c>
      <c r="C7" s="30" t="n">
        <v>0.361963534320409</v>
      </c>
      <c r="J7" s="13" t="s">
        <v>27</v>
      </c>
      <c r="K7" s="14" t="n">
        <f aca="false">10000000</f>
        <v>10000000</v>
      </c>
      <c r="P7" s="27"/>
      <c r="Q7" s="24"/>
      <c r="R7" s="28"/>
      <c r="S7" s="22"/>
      <c r="T7" s="24"/>
      <c r="U7" s="24"/>
      <c r="V7" s="28" t="n">
        <f aca="false">IF(V6+$K$26&lt;=$S$5,V6+$K$26,IF(V6=("N/A"),("N/A"),$S$5))</f>
        <v>48</v>
      </c>
      <c r="W7" s="25" t="n">
        <f aca="false">IF(($U$5)&gt;((2^(V7/$K$26))*$T$5),(2^(V7/$K$26))*$T$5, "N/A")</f>
        <v>8000000000000</v>
      </c>
      <c r="X7" s="24"/>
    </row>
    <row r="8" customFormat="false" ht="13.8" hidden="false" customHeight="false" outlineLevel="0" collapsed="false">
      <c r="B8" s="27" t="s">
        <v>28</v>
      </c>
      <c r="C8" s="31" t="n">
        <v>0.333333333333333</v>
      </c>
      <c r="J8" s="13" t="s">
        <v>29</v>
      </c>
      <c r="K8" s="2" t="n">
        <v>20</v>
      </c>
      <c r="P8" s="27"/>
      <c r="Q8" s="24"/>
      <c r="R8" s="28"/>
      <c r="S8" s="22"/>
      <c r="T8" s="24"/>
      <c r="U8" s="24"/>
      <c r="V8" s="28" t="n">
        <f aca="false">IF(V7+$K$26&lt;=$S$5,V7+$K$26,IF(V7=("N/A"),("N/A"),$S$5))</f>
        <v>72</v>
      </c>
      <c r="W8" s="25" t="n">
        <f aca="false">IF(($U$5)&gt;((2^(V8/$K$26))*$T$5),(2^(V8/$K$26))*$T$5, "N/A")</f>
        <v>16000000000000</v>
      </c>
      <c r="X8" s="24"/>
    </row>
    <row r="9" customFormat="false" ht="15" hidden="false" customHeight="false" outlineLevel="0" collapsed="false">
      <c r="B9" s="27" t="s">
        <v>30</v>
      </c>
      <c r="C9" s="31" t="n">
        <v>0.333333333333333</v>
      </c>
      <c r="J9" s="1" t="s">
        <v>31</v>
      </c>
      <c r="K9" s="2" t="n">
        <f aca="false">K8*1000</f>
        <v>20000</v>
      </c>
      <c r="P9" s="27"/>
      <c r="Q9" s="24"/>
      <c r="R9" s="28"/>
      <c r="S9" s="22"/>
      <c r="T9" s="24"/>
      <c r="U9" s="24"/>
      <c r="V9" s="28" t="n">
        <f aca="false">IF(V8+$K$26&lt;=$S$5,V8+$K$26,IF(V8=("N/A"),("N/A"),$S$5))</f>
        <v>96</v>
      </c>
      <c r="W9" s="25" t="n">
        <f aca="false">IF(($U$5)&gt;((2^(V9/$K$26))*$T$5),(2^(V9/$K$26))*$T$5, "N/A")</f>
        <v>32000000000000</v>
      </c>
      <c r="X9" s="24"/>
    </row>
    <row r="10" customFormat="false" ht="15" hidden="false" customHeight="false" outlineLevel="0" collapsed="false">
      <c r="B10" s="27" t="s">
        <v>32</v>
      </c>
      <c r="C10" s="31" t="n">
        <v>0.333333333333333</v>
      </c>
      <c r="J10" s="13" t="s">
        <v>33</v>
      </c>
      <c r="K10" s="14" t="n">
        <f aca="false">10000000</f>
        <v>10000000</v>
      </c>
      <c r="M10" s="9" t="s">
        <v>34</v>
      </c>
      <c r="P10" s="27"/>
      <c r="Q10" s="24"/>
      <c r="R10" s="28"/>
      <c r="S10" s="22"/>
      <c r="T10" s="24"/>
      <c r="U10" s="24"/>
      <c r="V10" s="28" t="n">
        <f aca="false">IF(V9+$K$26&lt;=$S$5,V9+$K$26,IF(V9=("N/A"),("N/A"),$S$5))</f>
        <v>120</v>
      </c>
      <c r="W10" s="25" t="n">
        <f aca="false">IF(($U$5)&gt;((2^(V10/$K$26))*$T$5),(2^(V10/$K$26))*$T$5, "N/A")</f>
        <v>64000000000000</v>
      </c>
      <c r="X10" s="24"/>
    </row>
    <row r="11" customFormat="false" ht="15" hidden="false" customHeight="false" outlineLevel="0" collapsed="false">
      <c r="B11" s="27" t="s">
        <v>31</v>
      </c>
      <c r="C11" s="31" t="n">
        <v>0.309570443988403</v>
      </c>
      <c r="J11" s="13" t="s">
        <v>35</v>
      </c>
      <c r="K11" s="32" t="n">
        <v>121000000</v>
      </c>
      <c r="M11" s="13" t="s">
        <v>36</v>
      </c>
      <c r="N11" s="33" t="n">
        <v>3.12</v>
      </c>
      <c r="P11" s="27"/>
      <c r="Q11" s="24"/>
      <c r="R11" s="28"/>
      <c r="S11" s="22"/>
      <c r="T11" s="24"/>
      <c r="U11" s="24"/>
      <c r="V11" s="28" t="n">
        <f aca="false">IF(V10+$K$26&lt;=$S$5,V10+$K$26,IF(V10=("N/A"),("N/A"),$S$5))</f>
        <v>144</v>
      </c>
      <c r="W11" s="25" t="n">
        <f aca="false">IF(($U$5)&gt;((2^(V11/$K$26))*$T$5),(2^(V11/$K$26))*$T$5, "N/A")</f>
        <v>128000000000000</v>
      </c>
      <c r="X11" s="24"/>
    </row>
    <row r="12" customFormat="false" ht="15" hidden="false" customHeight="false" outlineLevel="0" collapsed="false">
      <c r="B12" s="27" t="s">
        <v>33</v>
      </c>
      <c r="C12" s="31" t="n">
        <v>0.309570443988403</v>
      </c>
      <c r="F12" s="34"/>
      <c r="J12" s="13" t="s">
        <v>37</v>
      </c>
      <c r="K12" s="2" t="n">
        <v>1.29</v>
      </c>
      <c r="M12" s="13" t="s">
        <v>38</v>
      </c>
      <c r="N12" s="11" t="n">
        <v>7.84</v>
      </c>
      <c r="P12" s="27"/>
      <c r="Q12" s="24"/>
      <c r="R12" s="28"/>
      <c r="S12" s="22"/>
      <c r="T12" s="24"/>
      <c r="U12" s="24"/>
      <c r="V12" s="28" t="n">
        <f aca="false">IF(V11+$K$26&lt;=$S$5,V11+$K$26,IF(V11=("N/A"),("N/A"),$S$5))</f>
        <v>159.452548554593</v>
      </c>
      <c r="W12" s="25" t="str">
        <f aca="false">IF(($U$5)&gt;((2^(V12/$K$26))*$T$5),(2^(V12/$K$26))*$T$5, "N/A")</f>
        <v>N/A</v>
      </c>
      <c r="X12" s="24"/>
    </row>
    <row r="13" customFormat="false" ht="15" hidden="false" customHeight="false" outlineLevel="0" collapsed="false">
      <c r="B13" s="27" t="s">
        <v>14</v>
      </c>
      <c r="C13" s="31" t="n">
        <v>0.25</v>
      </c>
      <c r="J13" s="13" t="s">
        <v>39</v>
      </c>
      <c r="K13" s="2" t="n">
        <v>2</v>
      </c>
      <c r="M13" s="13" t="s">
        <v>40</v>
      </c>
      <c r="N13" s="11" t="n">
        <v>0.01</v>
      </c>
      <c r="P13" s="27"/>
      <c r="Q13" s="24"/>
      <c r="R13" s="24"/>
      <c r="S13" s="22"/>
      <c r="T13" s="24"/>
      <c r="U13" s="24"/>
      <c r="V13" s="28" t="n">
        <f aca="false">IF(V12+$K$26&lt;=$S$5,V12+$K$26,IF(V12=("N/A"),("N/A"),$S$5))</f>
        <v>159.452548554593</v>
      </c>
      <c r="W13" s="25" t="str">
        <f aca="false">IF(($U$5)&gt;((2^(V13/$K$26))*$T$5),(2^(V13/$K$26))*$T$5, "N/A")</f>
        <v>N/A</v>
      </c>
      <c r="X13" s="24"/>
    </row>
    <row r="14" customFormat="false" ht="15.75" hidden="false" customHeight="false" outlineLevel="0" collapsed="false">
      <c r="B14" s="27" t="s">
        <v>37</v>
      </c>
      <c r="C14" s="31" t="n">
        <v>0.25</v>
      </c>
      <c r="F14" s="2"/>
      <c r="J14" s="35" t="s">
        <v>41</v>
      </c>
      <c r="K14" s="2" t="n">
        <v>240</v>
      </c>
      <c r="M14" s="13" t="s">
        <v>42</v>
      </c>
      <c r="N14" s="11" t="n">
        <v>0.1</v>
      </c>
      <c r="P14" s="27"/>
      <c r="Q14" s="24"/>
      <c r="R14" s="24"/>
      <c r="S14" s="22"/>
      <c r="T14" s="24"/>
      <c r="U14" s="24"/>
      <c r="V14" s="28" t="n">
        <f aca="false">IF(V13+$K$26&lt;=$S$5,V13+$K$26,IF(V13=("N/A"),("N/A"),$S$5))</f>
        <v>159.452548554593</v>
      </c>
      <c r="W14" s="25" t="str">
        <f aca="false">IF(($U$5)&gt;((2^(V14/$K$26))*$T$5),(2^(V14/$K$26))*$T$5, "N/A")</f>
        <v>N/A</v>
      </c>
      <c r="X14" s="24"/>
    </row>
    <row r="15" customFormat="false" ht="15.75" hidden="false" customHeight="false" outlineLevel="0" collapsed="false">
      <c r="B15" s="27" t="s">
        <v>43</v>
      </c>
      <c r="C15" s="31" t="n">
        <v>0.25</v>
      </c>
      <c r="J15" s="35" t="s">
        <v>32</v>
      </c>
      <c r="K15" s="2" t="n">
        <v>8760</v>
      </c>
      <c r="M15" s="13" t="s">
        <v>44</v>
      </c>
      <c r="N15" s="11" t="n">
        <v>340</v>
      </c>
      <c r="P15" s="27"/>
      <c r="Q15" s="24"/>
      <c r="R15" s="24"/>
      <c r="S15" s="22"/>
      <c r="T15" s="24"/>
      <c r="U15" s="24"/>
      <c r="V15" s="28" t="n">
        <f aca="false">IF(V14+$K$26&lt;=$S$5,V14+$K$26,IF(V14=("N/A"),("N/A"),$S$5))</f>
        <v>159.452548554593</v>
      </c>
      <c r="W15" s="25" t="str">
        <f aca="false">IF(($U$5)&gt;((2^(V15/$K$26))*$T$5),(2^(V15/$K$26))*$T$5, "N/A")</f>
        <v>N/A</v>
      </c>
      <c r="X15" s="24"/>
    </row>
    <row r="16" customFormat="false" ht="15" hidden="false" customHeight="false" outlineLevel="0" collapsed="false">
      <c r="B16" s="27" t="s">
        <v>39</v>
      </c>
      <c r="C16" s="31" t="n">
        <v>0.25</v>
      </c>
      <c r="J16" s="13" t="s">
        <v>26</v>
      </c>
      <c r="K16" s="2" t="n">
        <v>0.6</v>
      </c>
      <c r="M16" s="13" t="s">
        <v>45</v>
      </c>
      <c r="N16" s="11" t="n">
        <v>400</v>
      </c>
      <c r="P16" s="27"/>
      <c r="Q16" s="24"/>
      <c r="R16" s="24"/>
      <c r="S16" s="22"/>
      <c r="T16" s="24"/>
      <c r="U16" s="24"/>
      <c r="V16" s="28" t="n">
        <f aca="false">IF(V15+$K$26&lt;=$S$5,V15+$K$26,IF(V15=("N/A"),("N/A"),$S$5))</f>
        <v>159.452548554593</v>
      </c>
      <c r="W16" s="25" t="str">
        <f aca="false">IF(($U$5)&gt;((2^(V16/$K$26))*$T$5),(2^(V16/$K$26))*$T$5, "N/A")</f>
        <v>N/A</v>
      </c>
      <c r="X16" s="24"/>
    </row>
    <row r="17" customFormat="false" ht="15" hidden="false" customHeight="true" outlineLevel="0" collapsed="false">
      <c r="B17" s="27" t="s">
        <v>29</v>
      </c>
      <c r="C17" s="31" t="n">
        <v>0.15853364091535</v>
      </c>
      <c r="J17" s="1" t="s">
        <v>46</v>
      </c>
      <c r="K17" s="2" t="n">
        <v>0.5</v>
      </c>
      <c r="M17" s="13" t="s">
        <v>47</v>
      </c>
      <c r="N17" s="11" t="n">
        <v>4010000</v>
      </c>
      <c r="P17" s="36"/>
      <c r="Q17" s="37"/>
      <c r="R17" s="37"/>
      <c r="S17" s="22"/>
      <c r="T17" s="24"/>
      <c r="U17" s="24"/>
      <c r="V17" s="28" t="n">
        <f aca="false">IF(V16+$K$26&lt;=$S$5,V16+$K$26,IF(V16=("N/A"),("N/A"),$S$5))</f>
        <v>159.452548554593</v>
      </c>
      <c r="W17" s="25" t="str">
        <f aca="false">IF(($U$5)&gt;((2^(V17/$K$26))*$T$5),(2^(V17/$K$26))*$T$5, "N/A")</f>
        <v>N/A</v>
      </c>
      <c r="X17" s="24"/>
    </row>
    <row r="18" customFormat="false" ht="15" hidden="false" customHeight="false" outlineLevel="0" collapsed="false">
      <c r="B18" s="27" t="s">
        <v>48</v>
      </c>
      <c r="C18" s="31" t="n">
        <v>0.142647248503661</v>
      </c>
      <c r="J18" s="13" t="s">
        <v>49</v>
      </c>
      <c r="K18" s="2" t="n">
        <v>0.15</v>
      </c>
      <c r="M18" s="13" t="s">
        <v>50</v>
      </c>
      <c r="N18" s="11" t="n">
        <v>3236000</v>
      </c>
      <c r="P18" s="36"/>
      <c r="Q18" s="37"/>
      <c r="R18" s="37"/>
      <c r="S18" s="22"/>
      <c r="T18" s="24"/>
      <c r="U18" s="24"/>
      <c r="V18" s="28" t="n">
        <f aca="false">IF(V17+$K$26&lt;=$S$5,V17+$K$26,IF(V17=("N/A"),("N/A"),$S$5))</f>
        <v>159.452548554593</v>
      </c>
      <c r="W18" s="25" t="str">
        <f aca="false">IF(($U$5)&gt;((2^(V18/$K$26))*$T$5),(2^(V18/$K$26))*$T$5, "N/A")</f>
        <v>N/A</v>
      </c>
      <c r="X18" s="24"/>
    </row>
    <row r="19" customFormat="false" ht="13.5" hidden="false" customHeight="true" outlineLevel="0" collapsed="false">
      <c r="B19" s="27" t="s">
        <v>41</v>
      </c>
      <c r="C19" s="31" t="n">
        <v>0.107352751496339</v>
      </c>
      <c r="N19" s="11"/>
      <c r="P19" s="36" t="s">
        <v>51</v>
      </c>
      <c r="Q19" s="38" t="n">
        <f aca="false">S5</f>
        <v>159.452548554593</v>
      </c>
      <c r="R19" s="37"/>
      <c r="S19" s="22"/>
      <c r="T19" s="24"/>
      <c r="U19" s="24"/>
      <c r="V19" s="28" t="n">
        <f aca="false">IF(V18+$K$26&lt;=$S$5,V18+$K$26,IF(V18=("N/A"),("N/A"),$S$5))</f>
        <v>159.452548554593</v>
      </c>
      <c r="W19" s="25" t="str">
        <f aca="false">IF(($U$5)&gt;((2^(V19/$K$26))*$T$5),(2^(V19/$K$26))*$T$5, "N/A")</f>
        <v>N/A</v>
      </c>
      <c r="X19" s="24"/>
    </row>
    <row r="20" customFormat="false" ht="15.75" hidden="false" customHeight="false" outlineLevel="0" collapsed="false">
      <c r="B20" s="27" t="s">
        <v>13</v>
      </c>
      <c r="C20" s="31" t="n">
        <v>0.0178221670086974</v>
      </c>
      <c r="N20" s="11"/>
      <c r="P20" s="39" t="s">
        <v>52</v>
      </c>
      <c r="Q20" s="40" t="n">
        <f aca="false">Q19+K14</f>
        <v>399.452548554593</v>
      </c>
      <c r="R20" s="41"/>
      <c r="S20" s="42"/>
      <c r="T20" s="43"/>
      <c r="U20" s="43"/>
      <c r="V20" s="43"/>
      <c r="W20" s="44"/>
      <c r="X20" s="24"/>
    </row>
    <row r="21" customFormat="false" ht="15.75" hidden="false" customHeight="false" outlineLevel="0" collapsed="false">
      <c r="B21" s="45" t="s">
        <v>23</v>
      </c>
      <c r="C21" s="46" t="n">
        <v>0.0178221670086974</v>
      </c>
      <c r="N21" s="11"/>
      <c r="P21" s="47"/>
      <c r="Q21" s="28"/>
      <c r="R21" s="24"/>
      <c r="S21" s="22"/>
      <c r="T21" s="24"/>
      <c r="U21" s="24"/>
      <c r="V21" s="24"/>
      <c r="W21" s="22"/>
    </row>
    <row r="22" customFormat="false" ht="15" hidden="false" customHeight="false" outlineLevel="0" collapsed="false">
      <c r="N22" s="11"/>
      <c r="P22" s="47"/>
      <c r="Q22" s="28"/>
      <c r="R22" s="24"/>
      <c r="S22" s="22"/>
      <c r="T22" s="24"/>
      <c r="U22" s="24"/>
      <c r="V22" s="24"/>
      <c r="W22" s="22"/>
    </row>
    <row r="23" customFormat="false" ht="15.75" hidden="false" customHeight="false" outlineLevel="0" collapsed="false">
      <c r="J23" s="9" t="s">
        <v>53</v>
      </c>
      <c r="N23" s="11"/>
      <c r="P23" s="5" t="s">
        <v>54</v>
      </c>
      <c r="V23" s="24"/>
      <c r="W23" s="22"/>
    </row>
    <row r="24" customFormat="false" ht="30.75" hidden="false" customHeight="true" outlineLevel="0" collapsed="false">
      <c r="B24" s="26" t="s">
        <v>55</v>
      </c>
      <c r="C24" s="26"/>
      <c r="J24" s="13" t="s">
        <v>28</v>
      </c>
      <c r="K24" s="14" t="n">
        <v>5E-015</v>
      </c>
      <c r="N24" s="11"/>
      <c r="P24" s="15" t="s">
        <v>20</v>
      </c>
      <c r="Q24" s="16" t="s">
        <v>56</v>
      </c>
      <c r="R24" s="48" t="s">
        <v>57</v>
      </c>
      <c r="S24" s="17" t="s">
        <v>58</v>
      </c>
      <c r="T24" s="49" t="s">
        <v>59</v>
      </c>
    </row>
    <row r="25" customFormat="false" ht="15" hidden="false" customHeight="false" outlineLevel="0" collapsed="false">
      <c r="B25" s="29" t="s">
        <v>28</v>
      </c>
      <c r="C25" s="30" t="n">
        <v>0.33332362084795</v>
      </c>
      <c r="J25" s="13" t="s">
        <v>30</v>
      </c>
      <c r="K25" s="2" t="n">
        <v>1060</v>
      </c>
      <c r="M25" s="13" t="s">
        <v>60</v>
      </c>
      <c r="N25" s="11" t="n">
        <v>40</v>
      </c>
      <c r="P25" s="27" t="n">
        <f aca="false">K10*1000*K9</f>
        <v>200000000000000</v>
      </c>
      <c r="Q25" s="50" t="n">
        <f aca="false">IF(P25*K24&lt;K8,(P25*K24),("exceeds bioreactor volume "))</f>
        <v>1</v>
      </c>
      <c r="R25" s="24" t="n">
        <f aca="false">Q25*K25</f>
        <v>1060</v>
      </c>
      <c r="S25" s="51" t="n">
        <f aca="false">K15/Q20</f>
        <v>21.9300140447164</v>
      </c>
      <c r="T25" s="52" t="n">
        <f aca="false">S25*R25</f>
        <v>23245.8148873994</v>
      </c>
    </row>
    <row r="26" customFormat="false" ht="15" hidden="false" customHeight="false" outlineLevel="0" collapsed="false">
      <c r="B26" s="27" t="s">
        <v>30</v>
      </c>
      <c r="C26" s="31" t="n">
        <v>0.33332362084795</v>
      </c>
      <c r="J26" s="13" t="s">
        <v>48</v>
      </c>
      <c r="K26" s="2" t="n">
        <v>24</v>
      </c>
      <c r="P26" s="27"/>
      <c r="Q26" s="24"/>
      <c r="R26" s="24"/>
      <c r="S26" s="22"/>
      <c r="T26" s="53"/>
    </row>
    <row r="27" customFormat="false" ht="15" hidden="false" customHeight="false" outlineLevel="0" collapsed="false">
      <c r="B27" s="27" t="s">
        <v>61</v>
      </c>
      <c r="C27" s="31" t="n">
        <v>0.333309228174975</v>
      </c>
      <c r="J27" s="13" t="s">
        <v>62</v>
      </c>
      <c r="K27" s="14" t="n">
        <v>4.13E-013</v>
      </c>
      <c r="M27" s="9" t="s">
        <v>63</v>
      </c>
      <c r="P27" s="27"/>
      <c r="Q27" s="24"/>
      <c r="R27" s="24"/>
      <c r="S27" s="22"/>
      <c r="T27" s="53"/>
    </row>
    <row r="28" customFormat="false" ht="15" hidden="false" customHeight="false" outlineLevel="0" collapsed="false">
      <c r="B28" s="27" t="s">
        <v>43</v>
      </c>
      <c r="C28" s="31" t="n">
        <v>0.250005455289951</v>
      </c>
      <c r="J28" s="13" t="s">
        <v>64</v>
      </c>
      <c r="K28" s="14" t="n">
        <v>1.8E-014</v>
      </c>
      <c r="M28" s="13" t="s">
        <v>65</v>
      </c>
      <c r="N28" s="33" t="n">
        <v>4.17</v>
      </c>
      <c r="P28" s="27"/>
      <c r="Q28" s="24"/>
      <c r="R28" s="24"/>
      <c r="S28" s="22"/>
      <c r="T28" s="53"/>
    </row>
    <row r="29" customFormat="false" ht="15" hidden="false" customHeight="false" outlineLevel="0" collapsed="false">
      <c r="B29" s="27" t="s">
        <v>62</v>
      </c>
      <c r="C29" s="31" t="n">
        <v>0.249994660332044</v>
      </c>
      <c r="M29" s="13" t="s">
        <v>66</v>
      </c>
      <c r="N29" s="33" t="n">
        <v>1.42</v>
      </c>
      <c r="P29" s="27"/>
      <c r="Q29" s="24"/>
      <c r="R29" s="24"/>
      <c r="S29" s="22"/>
      <c r="T29" s="53"/>
    </row>
    <row r="30" customFormat="false" ht="30" hidden="false" customHeight="false" outlineLevel="0" collapsed="false">
      <c r="B30" s="27" t="s">
        <v>67</v>
      </c>
      <c r="C30" s="31" t="n">
        <v>0.237564574319464</v>
      </c>
      <c r="N30" s="33"/>
      <c r="P30" s="54" t="s">
        <v>68</v>
      </c>
      <c r="Q30" s="55" t="n">
        <f aca="false">K11/T25</f>
        <v>5205.23804332578</v>
      </c>
      <c r="R30" s="24"/>
      <c r="S30" s="22"/>
      <c r="T30" s="53"/>
    </row>
    <row r="31" customFormat="false" ht="15.75" hidden="false" customHeight="false" outlineLevel="0" collapsed="false">
      <c r="B31" s="27" t="s">
        <v>47</v>
      </c>
      <c r="C31" s="31" t="n">
        <v>0.237557294776142</v>
      </c>
      <c r="J31" s="9" t="s">
        <v>69</v>
      </c>
      <c r="N31" s="33"/>
      <c r="P31" s="45" t="s">
        <v>70</v>
      </c>
      <c r="Q31" s="56" t="n">
        <f aca="false">Q30*S25</f>
        <v>114150.943396226</v>
      </c>
      <c r="R31" s="43"/>
      <c r="S31" s="42"/>
      <c r="T31" s="57"/>
    </row>
    <row r="32" customFormat="false" ht="15.75" hidden="false" customHeight="false" outlineLevel="0" collapsed="false">
      <c r="B32" s="27" t="s">
        <v>41</v>
      </c>
      <c r="C32" s="31" t="n">
        <v>0.221828580707914</v>
      </c>
      <c r="J32" s="13" t="s">
        <v>71</v>
      </c>
      <c r="K32" s="14" t="n">
        <v>0.064</v>
      </c>
      <c r="M32" s="35" t="s">
        <v>72</v>
      </c>
      <c r="N32" s="33" t="n">
        <v>13.68</v>
      </c>
    </row>
    <row r="33" customFormat="false" ht="15.75" hidden="false" customHeight="false" outlineLevel="0" collapsed="false">
      <c r="B33" s="27" t="s">
        <v>25</v>
      </c>
      <c r="C33" s="31" t="n">
        <v>0.0569996039451294</v>
      </c>
      <c r="J33" s="13" t="s">
        <v>73</v>
      </c>
      <c r="K33" s="14" t="n">
        <v>0.543</v>
      </c>
      <c r="N33" s="33"/>
      <c r="P33" s="5" t="s">
        <v>74</v>
      </c>
    </row>
    <row r="34" customFormat="false" ht="15" hidden="false" customHeight="false" outlineLevel="0" collapsed="false">
      <c r="B34" s="27" t="s">
        <v>27</v>
      </c>
      <c r="C34" s="31" t="n">
        <v>0.0569996039451294</v>
      </c>
      <c r="J34" s="13" t="s">
        <v>75</v>
      </c>
      <c r="K34" s="14" t="n">
        <v>1.4E-005</v>
      </c>
      <c r="N34" s="33"/>
      <c r="P34" s="29" t="s">
        <v>76</v>
      </c>
      <c r="Q34" s="48"/>
      <c r="R34" s="58"/>
    </row>
    <row r="35" customFormat="false" ht="30" hidden="false" customHeight="false" outlineLevel="0" collapsed="false">
      <c r="B35" s="27" t="s">
        <v>31</v>
      </c>
      <c r="C35" s="31" t="n">
        <v>0.0375670387596748</v>
      </c>
      <c r="J35" s="13" t="s">
        <v>77</v>
      </c>
      <c r="K35" s="14" t="n">
        <v>0.0194</v>
      </c>
      <c r="M35" s="9" t="s">
        <v>78</v>
      </c>
      <c r="N35" s="33"/>
      <c r="P35" s="27" t="s">
        <v>79</v>
      </c>
      <c r="Q35" s="59" t="s">
        <v>80</v>
      </c>
      <c r="R35" s="60" t="s">
        <v>81</v>
      </c>
    </row>
    <row r="36" customFormat="false" ht="15" hidden="false" customHeight="false" outlineLevel="0" collapsed="false">
      <c r="B36" s="27" t="s">
        <v>33</v>
      </c>
      <c r="C36" s="31" t="n">
        <v>0.0375670387596748</v>
      </c>
      <c r="J36" s="13" t="s">
        <v>82</v>
      </c>
      <c r="K36" s="14" t="n">
        <v>0.0107</v>
      </c>
      <c r="M36" s="13" t="s">
        <v>83</v>
      </c>
      <c r="N36" s="33" t="n">
        <v>0.63</v>
      </c>
      <c r="P36" s="61" t="n">
        <f aca="false">Q30</f>
        <v>5205.23804332578</v>
      </c>
      <c r="Q36" s="62" t="n">
        <f aca="false">P36* K12*N4*(K8^K16)</f>
        <v>2025901412.64931</v>
      </c>
      <c r="R36" s="63" t="n">
        <f aca="false">Q36*K13</f>
        <v>4051802825.29862</v>
      </c>
    </row>
    <row r="37" customFormat="false" ht="15.75" hidden="false" customHeight="false" outlineLevel="0" collapsed="false">
      <c r="B37" s="45" t="s">
        <v>48</v>
      </c>
      <c r="C37" s="46" t="n">
        <v>0.0281841536721815</v>
      </c>
      <c r="J37" s="13" t="s">
        <v>67</v>
      </c>
      <c r="K37" s="14" t="n">
        <v>0.0001</v>
      </c>
      <c r="M37" s="13" t="s">
        <v>84</v>
      </c>
      <c r="N37" s="33" t="n">
        <v>0.51</v>
      </c>
      <c r="P37" s="27"/>
      <c r="Q37" s="24"/>
      <c r="R37" s="53"/>
    </row>
    <row r="38" customFormat="false" ht="15" hidden="false" customHeight="false" outlineLevel="0" collapsed="false">
      <c r="C38" s="64"/>
      <c r="J38" s="13" t="s">
        <v>85</v>
      </c>
      <c r="K38" s="14" t="n">
        <v>2E-006</v>
      </c>
      <c r="M38" s="13" t="s">
        <v>86</v>
      </c>
      <c r="N38" s="33" t="n">
        <v>0.57</v>
      </c>
      <c r="P38" s="27"/>
      <c r="Q38" s="24"/>
      <c r="R38" s="53"/>
    </row>
    <row r="39" customFormat="false" ht="15" hidden="false" customHeight="false" outlineLevel="0" collapsed="false">
      <c r="C39" s="64"/>
      <c r="J39" s="13" t="s">
        <v>61</v>
      </c>
      <c r="K39" s="14" t="n">
        <v>0.0178</v>
      </c>
      <c r="P39" s="27"/>
      <c r="Q39" s="65"/>
      <c r="R39" s="60"/>
    </row>
    <row r="40" customFormat="false" ht="15.75" hidden="false" customHeight="false" outlineLevel="0" collapsed="false">
      <c r="B40" s="66" t="s">
        <v>87</v>
      </c>
      <c r="C40" s="66"/>
      <c r="J40" s="13" t="s">
        <v>88</v>
      </c>
      <c r="K40" s="2" t="n">
        <v>1</v>
      </c>
      <c r="P40" s="27"/>
      <c r="Q40" s="62"/>
      <c r="R40" s="63"/>
    </row>
    <row r="41" customFormat="false" ht="15" hidden="false" customHeight="false" outlineLevel="0" collapsed="false">
      <c r="B41" s="29" t="s">
        <v>26</v>
      </c>
      <c r="C41" s="67" t="n">
        <v>0.56730853766308</v>
      </c>
      <c r="J41" s="13" t="s">
        <v>89</v>
      </c>
      <c r="K41" s="68" t="n">
        <v>0.02</v>
      </c>
      <c r="P41" s="27"/>
      <c r="Q41" s="24"/>
      <c r="R41" s="53"/>
    </row>
    <row r="42" customFormat="false" ht="15.75" hidden="false" customHeight="false" outlineLevel="0" collapsed="false">
      <c r="B42" s="27" t="s">
        <v>14</v>
      </c>
      <c r="C42" s="69" t="n">
        <v>0.25</v>
      </c>
      <c r="J42" s="1" t="s">
        <v>90</v>
      </c>
      <c r="K42" s="70" t="n">
        <v>0.032</v>
      </c>
      <c r="P42" s="45" t="s">
        <v>91</v>
      </c>
      <c r="Q42" s="71" t="n">
        <f aca="false">R36</f>
        <v>4051802825.29862</v>
      </c>
      <c r="R42" s="57"/>
    </row>
    <row r="43" customFormat="false" ht="15" hidden="false" customHeight="false" outlineLevel="0" collapsed="false">
      <c r="B43" s="27" t="s">
        <v>39</v>
      </c>
      <c r="C43" s="69" t="n">
        <v>0.25</v>
      </c>
      <c r="J43" s="9" t="s">
        <v>92</v>
      </c>
      <c r="P43" s="24"/>
      <c r="Q43" s="24"/>
      <c r="R43" s="24"/>
    </row>
    <row r="44" customFormat="false" ht="15" hidden="false" customHeight="false" outlineLevel="0" collapsed="false">
      <c r="B44" s="27" t="s">
        <v>37</v>
      </c>
      <c r="C44" s="69" t="n">
        <v>0.25</v>
      </c>
      <c r="J44" s="13" t="s">
        <v>93</v>
      </c>
      <c r="K44" s="72" t="n">
        <v>0.85</v>
      </c>
      <c r="P44" s="24"/>
      <c r="Q44" s="24"/>
      <c r="R44" s="24"/>
    </row>
    <row r="45" customFormat="false" ht="15" hidden="false" customHeight="false" outlineLevel="0" collapsed="false">
      <c r="B45" s="27" t="s">
        <v>43</v>
      </c>
      <c r="C45" s="69" t="n">
        <v>0.25</v>
      </c>
      <c r="J45" s="13" t="s">
        <v>94</v>
      </c>
      <c r="K45" s="72" t="n">
        <v>0.5</v>
      </c>
      <c r="P45" s="24"/>
      <c r="Q45" s="24"/>
      <c r="R45" s="24"/>
    </row>
    <row r="46" customFormat="false" ht="15" hidden="false" customHeight="false" outlineLevel="0" collapsed="false">
      <c r="B46" s="27" t="s">
        <v>28</v>
      </c>
      <c r="C46" s="69" t="n">
        <v>0.2</v>
      </c>
      <c r="J46" s="1" t="s">
        <v>95</v>
      </c>
      <c r="K46" s="72" t="n">
        <v>0.5</v>
      </c>
      <c r="P46" s="24"/>
      <c r="Q46" s="24"/>
      <c r="R46" s="24"/>
    </row>
    <row r="47" customFormat="false" ht="15" hidden="false" customHeight="false" outlineLevel="0" collapsed="false">
      <c r="B47" s="27" t="s">
        <v>30</v>
      </c>
      <c r="C47" s="69" t="n">
        <v>0.2</v>
      </c>
      <c r="J47" s="1" t="s">
        <v>96</v>
      </c>
      <c r="K47" s="72" t="n">
        <v>0</v>
      </c>
      <c r="P47" s="24"/>
      <c r="Q47" s="24"/>
      <c r="R47" s="24"/>
    </row>
    <row r="48" customFormat="false" ht="15" hidden="false" customHeight="false" outlineLevel="0" collapsed="false">
      <c r="B48" s="27" t="s">
        <v>32</v>
      </c>
      <c r="C48" s="69" t="n">
        <v>0.2</v>
      </c>
      <c r="K48" s="72"/>
      <c r="P48" s="24"/>
      <c r="Q48" s="24"/>
      <c r="R48" s="24"/>
    </row>
    <row r="49" customFormat="false" ht="15" hidden="false" customHeight="false" outlineLevel="0" collapsed="false">
      <c r="B49" s="27" t="s">
        <v>31</v>
      </c>
      <c r="C49" s="69" t="n">
        <v>0.188940842633557</v>
      </c>
      <c r="K49" s="72"/>
      <c r="P49" s="24"/>
      <c r="Q49" s="24"/>
      <c r="R49" s="24"/>
    </row>
    <row r="50" customFormat="false" ht="15" hidden="false" customHeight="false" outlineLevel="0" collapsed="false">
      <c r="B50" s="27" t="s">
        <v>33</v>
      </c>
      <c r="C50" s="69" t="n">
        <v>0.188940842633557</v>
      </c>
      <c r="J50" s="9" t="s">
        <v>97</v>
      </c>
      <c r="P50" s="24"/>
      <c r="Q50" s="24"/>
      <c r="R50" s="24"/>
    </row>
    <row r="51" customFormat="false" ht="15" hidden="false" customHeight="false" outlineLevel="0" collapsed="false">
      <c r="B51" s="27" t="s">
        <v>29</v>
      </c>
      <c r="C51" s="69" t="n">
        <v>0.143262629818316</v>
      </c>
      <c r="J51" s="13" t="s">
        <v>98</v>
      </c>
      <c r="K51" s="2" t="n">
        <v>20</v>
      </c>
      <c r="P51" s="24"/>
      <c r="Q51" s="62"/>
      <c r="R51" s="24"/>
    </row>
    <row r="52" customFormat="false" ht="15" hidden="false" customHeight="false" outlineLevel="0" collapsed="false">
      <c r="B52" s="27" t="s">
        <v>48</v>
      </c>
      <c r="C52" s="69" t="n">
        <v>0.14264724850366</v>
      </c>
      <c r="J52" s="13" t="s">
        <v>99</v>
      </c>
      <c r="K52" s="2" t="n">
        <v>37</v>
      </c>
    </row>
    <row r="53" customFormat="false" ht="15" hidden="false" customHeight="false" outlineLevel="0" collapsed="false">
      <c r="B53" s="27" t="s">
        <v>41</v>
      </c>
      <c r="C53" s="69" t="n">
        <v>0.107352751496339</v>
      </c>
      <c r="J53" s="13" t="s">
        <v>100</v>
      </c>
      <c r="K53" s="14" t="n">
        <v>0.00116</v>
      </c>
    </row>
    <row r="54" customFormat="false" ht="15" hidden="false" customHeight="false" outlineLevel="0" collapsed="false">
      <c r="B54" s="27" t="s">
        <v>13</v>
      </c>
      <c r="C54" s="69" t="n">
        <v>0.0138239467080535</v>
      </c>
      <c r="J54" s="13" t="s">
        <v>101</v>
      </c>
      <c r="K54" s="2" t="n">
        <v>1</v>
      </c>
    </row>
    <row r="55" customFormat="false" ht="19.5" hidden="false" customHeight="false" outlineLevel="0" collapsed="false">
      <c r="B55" s="45" t="s">
        <v>23</v>
      </c>
      <c r="C55" s="73" t="n">
        <v>0.0138239467080535</v>
      </c>
      <c r="P55" s="6" t="s">
        <v>102</v>
      </c>
      <c r="Q55" s="6"/>
    </row>
    <row r="56" customFormat="false" ht="15" hidden="false" customHeight="false" outlineLevel="0" collapsed="false">
      <c r="C56" s="72"/>
      <c r="J56" s="13" t="s">
        <v>103</v>
      </c>
      <c r="K56" s="2" t="n">
        <v>0.13</v>
      </c>
    </row>
    <row r="57" customFormat="false" ht="16.5" hidden="false" customHeight="false" outlineLevel="0" collapsed="false">
      <c r="C57" s="72"/>
      <c r="J57" s="13" t="s">
        <v>104</v>
      </c>
      <c r="K57" s="2" t="n">
        <v>1</v>
      </c>
      <c r="M57" s="74"/>
      <c r="P57" s="75" t="s">
        <v>105</v>
      </c>
    </row>
    <row r="58" customFormat="false" ht="15.75" hidden="false" customHeight="false" outlineLevel="0" collapsed="false">
      <c r="B58" s="66" t="s">
        <v>106</v>
      </c>
      <c r="C58" s="66"/>
      <c r="P58" s="76" t="n">
        <f aca="false">Q42*K18</f>
        <v>607770423.794792</v>
      </c>
    </row>
    <row r="59" customFormat="false" ht="15" hidden="false" customHeight="false" outlineLevel="0" collapsed="false">
      <c r="B59" s="29" t="s">
        <v>43</v>
      </c>
      <c r="C59" s="67" t="n">
        <v>0.249990896203308</v>
      </c>
      <c r="J59" s="13" t="s">
        <v>107</v>
      </c>
      <c r="K59" s="14" t="n">
        <v>0.000622</v>
      </c>
    </row>
    <row r="60" customFormat="false" ht="15" hidden="false" customHeight="false" outlineLevel="0" collapsed="false">
      <c r="B60" s="27" t="s">
        <v>62</v>
      </c>
      <c r="C60" s="69" t="n">
        <v>0.249980101245401</v>
      </c>
      <c r="J60" s="13" t="s">
        <v>108</v>
      </c>
      <c r="K60" s="2" t="n">
        <v>37</v>
      </c>
    </row>
    <row r="61" customFormat="false" ht="15" hidden="false" customHeight="false" outlineLevel="0" collapsed="false">
      <c r="B61" s="27" t="s">
        <v>47</v>
      </c>
      <c r="C61" s="69" t="n">
        <v>0.237557294776143</v>
      </c>
      <c r="J61" s="13" t="s">
        <v>109</v>
      </c>
      <c r="K61" s="2" t="n">
        <v>4</v>
      </c>
    </row>
    <row r="62" customFormat="false" ht="15.75" hidden="false" customHeight="false" outlineLevel="0" collapsed="false">
      <c r="B62" s="27" t="s">
        <v>67</v>
      </c>
      <c r="C62" s="69" t="n">
        <v>0.237550015232821</v>
      </c>
      <c r="J62" s="13" t="s">
        <v>101</v>
      </c>
      <c r="K62" s="2" t="n">
        <v>1</v>
      </c>
      <c r="P62" s="5" t="s">
        <v>110</v>
      </c>
    </row>
    <row r="63" customFormat="false" ht="30" hidden="false" customHeight="false" outlineLevel="0" collapsed="false">
      <c r="B63" s="27" t="s">
        <v>41</v>
      </c>
      <c r="C63" s="69" t="n">
        <v>0.221814021621271</v>
      </c>
      <c r="P63" s="29" t="s">
        <v>111</v>
      </c>
      <c r="Q63" s="48" t="s">
        <v>112</v>
      </c>
      <c r="R63" s="16" t="s">
        <v>113</v>
      </c>
      <c r="S63" s="17" t="s">
        <v>114</v>
      </c>
      <c r="T63" s="49" t="s">
        <v>115</v>
      </c>
    </row>
    <row r="64" customFormat="false" ht="15" hidden="false" customHeight="false" outlineLevel="0" collapsed="false">
      <c r="B64" s="27" t="s">
        <v>28</v>
      </c>
      <c r="C64" s="69" t="n">
        <v>0.200005819778084</v>
      </c>
      <c r="P64" s="27" t="n">
        <f aca="false">$V$5</f>
        <v>0</v>
      </c>
      <c r="Q64" s="22" t="n">
        <f aca="false">$W$5</f>
        <v>2000000000000</v>
      </c>
      <c r="R64" s="22" t="n">
        <f aca="false">IF(ISNUMBER(Q64),($K$27*Q64),("N/A"))</f>
        <v>0.826</v>
      </c>
      <c r="S64" s="22"/>
      <c r="T64" s="25" t="n">
        <f aca="false">SUM(S65:S78)</f>
        <v>2065.79552679003</v>
      </c>
    </row>
    <row r="65" customFormat="false" ht="13.8" hidden="false" customHeight="false" outlineLevel="0" collapsed="false">
      <c r="B65" s="27" t="s">
        <v>30</v>
      </c>
      <c r="C65" s="69" t="n">
        <v>0.200005819778084</v>
      </c>
      <c r="J65" s="77" t="s">
        <v>116</v>
      </c>
      <c r="P65" s="27" t="n">
        <f aca="false">$V$6</f>
        <v>24</v>
      </c>
      <c r="Q65" s="22" t="n">
        <f aca="false">$W$6</f>
        <v>4000000000000</v>
      </c>
      <c r="R65" s="22" t="n">
        <f aca="false">IF(ISNUMBER(Q65),($K$27*Q65),("N/A"))</f>
        <v>1.652</v>
      </c>
      <c r="S65" s="22" t="n">
        <f aca="false">IF(ISNUMBER(R64),R64*(P65-P64),("N/A"))</f>
        <v>19.824</v>
      </c>
      <c r="T65" s="25"/>
    </row>
    <row r="66" customFormat="false" ht="13.8" hidden="false" customHeight="false" outlineLevel="0" collapsed="false">
      <c r="B66" s="27" t="s">
        <v>61</v>
      </c>
      <c r="C66" s="69" t="n">
        <v>0.199997184174299</v>
      </c>
      <c r="J66" s="78" t="s">
        <v>117</v>
      </c>
      <c r="P66" s="27" t="n">
        <f aca="false">$V$7</f>
        <v>48</v>
      </c>
      <c r="Q66" s="22" t="n">
        <f aca="false">$W$7</f>
        <v>8000000000000</v>
      </c>
      <c r="R66" s="22" t="n">
        <f aca="false">IF(ISNUMBER(Q66),($K$27*Q66),("N/A"))</f>
        <v>3.304</v>
      </c>
      <c r="S66" s="22" t="n">
        <f aca="false">IF(ISNUMBER(R65),R65*(P66-P65),("N/A"))</f>
        <v>39.648</v>
      </c>
      <c r="T66" s="53"/>
    </row>
    <row r="67" customFormat="false" ht="15.65" hidden="false" customHeight="false" outlineLevel="0" collapsed="false">
      <c r="B67" s="27" t="s">
        <v>48</v>
      </c>
      <c r="C67" s="69" t="n">
        <v>0.0281695945855391</v>
      </c>
      <c r="J67" s="74" t="s">
        <v>118</v>
      </c>
      <c r="K67" s="2" t="n">
        <v>0.1</v>
      </c>
      <c r="P67" s="27" t="n">
        <f aca="false">$V$8</f>
        <v>72</v>
      </c>
      <c r="Q67" s="22" t="n">
        <f aca="false">$W$8</f>
        <v>16000000000000</v>
      </c>
      <c r="R67" s="22" t="n">
        <f aca="false">IF(ISNUMBER(Q67),($K$27*Q67),("N/A"))</f>
        <v>6.608</v>
      </c>
      <c r="S67" s="22" t="n">
        <f aca="false">IF(ISNUMBER(R66),R66*(P67-P66),("N/A"))</f>
        <v>79.296</v>
      </c>
      <c r="T67" s="53"/>
    </row>
    <row r="68" customFormat="false" ht="15.65" hidden="false" customHeight="false" outlineLevel="0" collapsed="false">
      <c r="B68" s="27" t="s">
        <v>25</v>
      </c>
      <c r="C68" s="69" t="n">
        <v>0.0281634371999987</v>
      </c>
      <c r="J68" s="74" t="s">
        <v>119</v>
      </c>
      <c r="K68" s="2" t="n">
        <v>1</v>
      </c>
      <c r="P68" s="27" t="n">
        <f aca="false">$V$9</f>
        <v>96</v>
      </c>
      <c r="Q68" s="22" t="n">
        <f aca="false">$W$9</f>
        <v>32000000000000</v>
      </c>
      <c r="R68" s="22" t="n">
        <f aca="false">IF(ISNUMBER(Q68),($K$27*Q68),("N/A"))</f>
        <v>13.216</v>
      </c>
      <c r="S68" s="22" t="n">
        <f aca="false">IF(ISNUMBER(R67),R67*(P68-P67),("N/A"))</f>
        <v>158.592</v>
      </c>
      <c r="T68" s="53"/>
    </row>
    <row r="69" customFormat="false" ht="15.65" hidden="false" customHeight="false" outlineLevel="0" collapsed="false">
      <c r="B69" s="27" t="s">
        <v>27</v>
      </c>
      <c r="C69" s="69" t="n">
        <v>0.0281634371999987</v>
      </c>
      <c r="J69" s="74" t="s">
        <v>120</v>
      </c>
      <c r="K69" s="2" t="n">
        <v>0.2</v>
      </c>
      <c r="P69" s="27" t="n">
        <f aca="false">$V$10</f>
        <v>120</v>
      </c>
      <c r="Q69" s="22" t="n">
        <f aca="false">$W$10</f>
        <v>64000000000000</v>
      </c>
      <c r="R69" s="22" t="n">
        <f aca="false">IF(ISNUMBER(Q69),($K$27*Q69),("N/A"))</f>
        <v>26.432</v>
      </c>
      <c r="S69" s="22" t="n">
        <f aca="false">IF(ISNUMBER(R68),R68*(P69-P68),("N/A"))</f>
        <v>317.184</v>
      </c>
      <c r="T69" s="53"/>
    </row>
    <row r="70" customFormat="false" ht="15.65" hidden="false" customHeight="false" outlineLevel="0" collapsed="false">
      <c r="B70" s="27" t="s">
        <v>31</v>
      </c>
      <c r="C70" s="69" t="n">
        <v>0.0225520085920447</v>
      </c>
      <c r="J70" s="74" t="s">
        <v>121</v>
      </c>
      <c r="K70" s="2" t="n">
        <v>0.5</v>
      </c>
      <c r="P70" s="27" t="n">
        <f aca="false">$V$11</f>
        <v>144</v>
      </c>
      <c r="Q70" s="22" t="n">
        <f aca="false">$W$11</f>
        <v>128000000000000</v>
      </c>
      <c r="R70" s="22" t="n">
        <f aca="false">IF(ISNUMBER(Q70),($K$27*Q70),("N/A"))</f>
        <v>52.864</v>
      </c>
      <c r="S70" s="22" t="n">
        <f aca="false">IF(ISNUMBER(R69),R69*(P70-P69),("N/A"))</f>
        <v>634.368</v>
      </c>
      <c r="T70" s="53"/>
    </row>
    <row r="71" customFormat="false" ht="15.65" hidden="false" customHeight="false" outlineLevel="0" collapsed="false">
      <c r="B71" s="45" t="s">
        <v>33</v>
      </c>
      <c r="C71" s="73" t="n">
        <v>0.0225520085920447</v>
      </c>
      <c r="J71" s="74" t="s">
        <v>122</v>
      </c>
      <c r="K71" s="2" t="n">
        <v>1</v>
      </c>
      <c r="P71" s="79" t="n">
        <f aca="false">$V$12</f>
        <v>159.452548554593</v>
      </c>
      <c r="Q71" s="22" t="str">
        <f aca="false">$W$12</f>
        <v>N/A</v>
      </c>
      <c r="R71" s="22" t="str">
        <f aca="false">IF(ISNUMBER(Q71),($K$27*Q71),("N/A"))</f>
        <v>N/A</v>
      </c>
      <c r="S71" s="22" t="n">
        <f aca="false">IF(ISNUMBER(R70),R70*(P71-P70),("N/A"))</f>
        <v>816.883526790027</v>
      </c>
      <c r="T71" s="53"/>
    </row>
    <row r="72" customFormat="false" ht="15.75" hidden="false" customHeight="false" outlineLevel="0" collapsed="false">
      <c r="J72" s="74"/>
      <c r="P72" s="27" t="n">
        <f aca="false">$V$13</f>
        <v>159.452548554593</v>
      </c>
      <c r="Q72" s="22" t="str">
        <f aca="false">$W$13</f>
        <v>N/A</v>
      </c>
      <c r="R72" s="22" t="str">
        <f aca="false">IF(ISNUMBER(Q72),($K$27*Q72),("N/A"))</f>
        <v>N/A</v>
      </c>
      <c r="S72" s="22" t="str">
        <f aca="false">IF(ISNUMBER(R71),R71*$K$26,("N/A"))</f>
        <v>N/A</v>
      </c>
      <c r="T72" s="53"/>
    </row>
    <row r="73" customFormat="false" ht="15.75" hidden="false" customHeight="false" outlineLevel="0" collapsed="false">
      <c r="J73" s="74"/>
      <c r="P73" s="27" t="n">
        <f aca="false">$V$14</f>
        <v>159.452548554593</v>
      </c>
      <c r="Q73" s="22" t="str">
        <f aca="false">$W$14</f>
        <v>N/A</v>
      </c>
      <c r="R73" s="22" t="str">
        <f aca="false">IF(ISNUMBER(Q73),($K$27*Q73),("N/A"))</f>
        <v>N/A</v>
      </c>
      <c r="S73" s="22" t="str">
        <f aca="false">IF(ISNUMBER(R72),R72*$K$26,("N/A"))</f>
        <v>N/A</v>
      </c>
      <c r="T73" s="53"/>
    </row>
    <row r="74" customFormat="false" ht="15.75" hidden="false" customHeight="false" outlineLevel="0" collapsed="false">
      <c r="J74" s="74"/>
      <c r="P74" s="27" t="n">
        <f aca="false">$V$15</f>
        <v>159.452548554593</v>
      </c>
      <c r="Q74" s="22" t="str">
        <f aca="false">$W$15</f>
        <v>N/A</v>
      </c>
      <c r="R74" s="22" t="str">
        <f aca="false">IF(ISNUMBER(Q74),($K$27*Q74),("N/A"))</f>
        <v>N/A</v>
      </c>
      <c r="S74" s="22" t="str">
        <f aca="false">IF(ISNUMBER(R73),R73*$K$26,("N/A"))</f>
        <v>N/A</v>
      </c>
      <c r="T74" s="53"/>
    </row>
    <row r="75" customFormat="false" ht="15.75" hidden="false" customHeight="false" outlineLevel="0" collapsed="false">
      <c r="J75" s="74"/>
      <c r="P75" s="27" t="n">
        <f aca="false">$V$16</f>
        <v>159.452548554593</v>
      </c>
      <c r="Q75" s="22" t="str">
        <f aca="false">$W$16</f>
        <v>N/A</v>
      </c>
      <c r="R75" s="22" t="str">
        <f aca="false">IF(ISNUMBER(Q75),($K$27*Q75),("N/A"))</f>
        <v>N/A</v>
      </c>
      <c r="S75" s="22" t="str">
        <f aca="false">IF(ISNUMBER(R74),R74*$K$26,("N/A"))</f>
        <v>N/A</v>
      </c>
      <c r="T75" s="53"/>
    </row>
    <row r="76" customFormat="false" ht="15.75" hidden="false" customHeight="false" outlineLevel="0" collapsed="false">
      <c r="J76" s="74"/>
      <c r="P76" s="27" t="n">
        <f aca="false">$V$17</f>
        <v>159.452548554593</v>
      </c>
      <c r="Q76" s="22" t="str">
        <f aca="false">$W$17</f>
        <v>N/A</v>
      </c>
      <c r="R76" s="22" t="str">
        <f aca="false">IF(ISNUMBER(Q76),($K$27*Q76),("N/A"))</f>
        <v>N/A</v>
      </c>
      <c r="S76" s="22" t="str">
        <f aca="false">IF(ISNUMBER(R75),R75*$K$26,("N/A"))</f>
        <v>N/A</v>
      </c>
      <c r="T76" s="53"/>
    </row>
    <row r="77" customFormat="false" ht="15.75" hidden="false" customHeight="false" outlineLevel="0" collapsed="false">
      <c r="J77" s="74"/>
      <c r="P77" s="27" t="n">
        <f aca="false">$V$18</f>
        <v>159.452548554593</v>
      </c>
      <c r="Q77" s="22" t="str">
        <f aca="false">$W$18</f>
        <v>N/A</v>
      </c>
      <c r="R77" s="22" t="str">
        <f aca="false">IF(ISNUMBER(Q77),($K$27*Q77),("N/A"))</f>
        <v>N/A</v>
      </c>
      <c r="S77" s="22" t="str">
        <f aca="false">IF(ISNUMBER(R76),R76*$K$26,("N/A"))</f>
        <v>N/A</v>
      </c>
      <c r="T77" s="53"/>
    </row>
    <row r="78" customFormat="false" ht="15.75" hidden="false" customHeight="true" outlineLevel="0" collapsed="false">
      <c r="J78" s="74" t="s">
        <v>123</v>
      </c>
      <c r="K78" s="2" t="n">
        <v>1</v>
      </c>
      <c r="P78" s="27" t="n">
        <f aca="false">$V$19</f>
        <v>159.452548554593</v>
      </c>
      <c r="Q78" s="22" t="str">
        <f aca="false">$W$19</f>
        <v>N/A</v>
      </c>
      <c r="R78" s="22" t="str">
        <f aca="false">IF(ISNUMBER(Q78),($K$27*Q78),("N/A"))</f>
        <v>N/A</v>
      </c>
      <c r="S78" s="22" t="str">
        <f aca="false">IF(ISNUMBER(R77),R77*$K$26,("N/A"))</f>
        <v>N/A</v>
      </c>
      <c r="T78" s="53"/>
      <c r="U78" s="80"/>
      <c r="V78" s="65"/>
      <c r="W78" s="65"/>
      <c r="X78" s="65"/>
      <c r="Y78" s="65"/>
      <c r="Z78" s="65"/>
    </row>
    <row r="79" customFormat="false" ht="30" hidden="false" customHeight="false" outlineLevel="0" collapsed="false">
      <c r="J79" s="35" t="s">
        <v>124</v>
      </c>
      <c r="K79" s="2" t="n">
        <v>1</v>
      </c>
      <c r="P79" s="54" t="s">
        <v>125</v>
      </c>
      <c r="Q79" s="59" t="s">
        <v>126</v>
      </c>
      <c r="R79" s="59" t="s">
        <v>127</v>
      </c>
      <c r="S79" s="81" t="s">
        <v>128</v>
      </c>
      <c r="T79" s="82" t="s">
        <v>129</v>
      </c>
      <c r="U79" s="80"/>
      <c r="V79" s="65"/>
      <c r="W79" s="65"/>
      <c r="X79" s="65"/>
      <c r="Y79" s="65"/>
      <c r="Z79" s="65"/>
    </row>
    <row r="80" customFormat="false" ht="15.75" hidden="false" customHeight="false" outlineLevel="0" collapsed="false">
      <c r="J80" s="74" t="s">
        <v>130</v>
      </c>
      <c r="K80" s="2" t="n">
        <v>0.1</v>
      </c>
      <c r="P80" s="21" t="n">
        <f aca="false">(U5*K27)*K14</f>
        <v>19824</v>
      </c>
      <c r="Q80" s="22" t="n">
        <f aca="false">T64+P80</f>
        <v>21889.79552679</v>
      </c>
      <c r="R80" s="28" t="n">
        <f aca="false">K39*K9</f>
        <v>356</v>
      </c>
      <c r="S80" s="51" t="n">
        <f aca="false">Q80/R80</f>
        <v>61.4881896819945</v>
      </c>
      <c r="T80" s="83" t="n">
        <f aca="false">S80*K9</f>
        <v>1229763.79363989</v>
      </c>
      <c r="U80" s="80"/>
      <c r="V80" s="65"/>
      <c r="W80" s="65"/>
      <c r="X80" s="65"/>
      <c r="Y80" s="65"/>
      <c r="Z80" s="65"/>
    </row>
    <row r="81" customFormat="false" ht="15" hidden="false" customHeight="false" outlineLevel="0" collapsed="false">
      <c r="P81" s="27"/>
      <c r="Q81" s="24"/>
      <c r="R81" s="24"/>
      <c r="S81" s="22"/>
      <c r="T81" s="25" t="n">
        <f aca="false">Q80*180.156/3.2</f>
        <v>1232368.12591387</v>
      </c>
    </row>
    <row r="82" customFormat="false" ht="15.75" hidden="false" customHeight="false" outlineLevel="0" collapsed="false">
      <c r="J82" s="74" t="s">
        <v>131</v>
      </c>
      <c r="P82" s="27" t="s">
        <v>132</v>
      </c>
      <c r="Q82" s="24"/>
      <c r="R82" s="24"/>
      <c r="S82" s="22"/>
      <c r="T82" s="53"/>
    </row>
    <row r="83" customFormat="false" ht="15.75" hidden="false" customHeight="false" outlineLevel="0" collapsed="false">
      <c r="J83" s="35" t="s">
        <v>133</v>
      </c>
      <c r="K83" s="2" t="n">
        <v>1</v>
      </c>
      <c r="P83" s="84" t="n">
        <f aca="false">(K32*N12)+(K33*N13)+(K34*N14)+(K35*N15)+(K36*N16)+(K37*N17)+(K38*N18)+(N11)</f>
        <v>421.9751914</v>
      </c>
      <c r="Q83" s="2"/>
      <c r="R83" s="24"/>
      <c r="S83" s="22"/>
      <c r="T83" s="53"/>
    </row>
    <row r="84" customFormat="false" ht="15.75" hidden="false" customHeight="false" outlineLevel="0" collapsed="false">
      <c r="J84" s="35" t="s">
        <v>134</v>
      </c>
      <c r="K84" s="2" t="n">
        <v>1.2</v>
      </c>
      <c r="P84" s="27"/>
      <c r="Q84" s="24"/>
      <c r="R84" s="24"/>
      <c r="S84" s="22"/>
      <c r="T84" s="53"/>
    </row>
    <row r="85" customFormat="false" ht="15.75" hidden="false" customHeight="false" outlineLevel="0" collapsed="false">
      <c r="J85" s="35" t="s">
        <v>135</v>
      </c>
      <c r="K85" s="2" t="n">
        <v>0.8</v>
      </c>
      <c r="P85" s="27" t="s">
        <v>136</v>
      </c>
      <c r="Q85" s="24"/>
      <c r="R85" s="24"/>
      <c r="S85" s="22"/>
      <c r="T85" s="53"/>
    </row>
    <row r="86" customFormat="false" ht="15.75" hidden="false" customHeight="false" outlineLevel="0" collapsed="false">
      <c r="J86" s="35" t="s">
        <v>137</v>
      </c>
      <c r="K86" s="2" t="n">
        <v>1.5</v>
      </c>
      <c r="P86" s="85" t="n">
        <f aca="false">T80*Q31</f>
        <v>140378697198.516</v>
      </c>
      <c r="Q86" s="24"/>
      <c r="R86" s="24"/>
      <c r="S86" s="22"/>
      <c r="T86" s="53"/>
    </row>
    <row r="87" customFormat="false" ht="15.75" hidden="false" customHeight="false" outlineLevel="0" collapsed="false">
      <c r="B87" s="86"/>
      <c r="J87" s="35" t="s">
        <v>138</v>
      </c>
      <c r="K87" s="2" t="n">
        <v>1.4</v>
      </c>
      <c r="P87" s="27" t="s">
        <v>139</v>
      </c>
      <c r="Q87" s="24"/>
      <c r="R87" s="24"/>
      <c r="S87" s="22"/>
      <c r="T87" s="53"/>
    </row>
    <row r="88" customFormat="false" ht="16.5" hidden="false" customHeight="false" outlineLevel="0" collapsed="false">
      <c r="J88" s="35" t="s">
        <v>140</v>
      </c>
      <c r="K88" s="2" t="n">
        <v>1.25</v>
      </c>
      <c r="P88" s="87" t="n">
        <f aca="false">P86*P83</f>
        <v>59236327618826.3</v>
      </c>
      <c r="Q88" s="43"/>
      <c r="R88" s="43"/>
      <c r="S88" s="42"/>
      <c r="T88" s="57"/>
    </row>
    <row r="90" customFormat="false" ht="16.5" hidden="false" customHeight="false" outlineLevel="0" collapsed="false">
      <c r="J90" s="88" t="s">
        <v>141</v>
      </c>
      <c r="P90" s="5" t="s">
        <v>142</v>
      </c>
    </row>
    <row r="91" customFormat="false" ht="30" hidden="false" customHeight="false" outlineLevel="0" collapsed="false">
      <c r="J91" s="74" t="s">
        <v>118</v>
      </c>
      <c r="K91" s="2" t="n">
        <v>0</v>
      </c>
      <c r="P91" s="15" t="s">
        <v>143</v>
      </c>
      <c r="Q91" s="16" t="s">
        <v>112</v>
      </c>
      <c r="R91" s="16" t="s">
        <v>144</v>
      </c>
      <c r="S91" s="17" t="s">
        <v>145</v>
      </c>
      <c r="T91" s="49" t="s">
        <v>146</v>
      </c>
    </row>
    <row r="92" customFormat="false" ht="15.75" hidden="false" customHeight="false" outlineLevel="0" collapsed="false">
      <c r="J92" s="74" t="s">
        <v>119</v>
      </c>
      <c r="K92" s="2" t="n">
        <v>0</v>
      </c>
      <c r="P92" s="27" t="n">
        <f aca="false">$V$5</f>
        <v>0</v>
      </c>
      <c r="Q92" s="22" t="n">
        <f aca="false">$W$5</f>
        <v>2000000000000</v>
      </c>
      <c r="R92" s="22" t="n">
        <f aca="false">IF(ISNUMBER(Q92),($K$28*Q92),("N/A"))</f>
        <v>0.036</v>
      </c>
      <c r="S92" s="22"/>
      <c r="T92" s="25" t="n">
        <f aca="false">SUM(S93:S106)</f>
        <v>109.728</v>
      </c>
    </row>
    <row r="93" customFormat="false" ht="15.75" hidden="false" customHeight="false" outlineLevel="0" collapsed="false">
      <c r="J93" s="74" t="s">
        <v>120</v>
      </c>
      <c r="K93" s="2" t="n">
        <v>0</v>
      </c>
      <c r="P93" s="27" t="n">
        <f aca="false">$V$6</f>
        <v>24</v>
      </c>
      <c r="Q93" s="22" t="n">
        <f aca="false">$W$6</f>
        <v>4000000000000</v>
      </c>
      <c r="R93" s="22" t="n">
        <f aca="false">IF(ISNUMBER(Q93),($K$28*Q93),("N/A"))</f>
        <v>0.072</v>
      </c>
      <c r="S93" s="22" t="n">
        <f aca="false">IF(ISNUMBER(R92),R92*$K$26,("N/A"))</f>
        <v>0.864</v>
      </c>
      <c r="T93" s="53"/>
    </row>
    <row r="94" customFormat="false" ht="15.75" hidden="false" customHeight="false" outlineLevel="0" collapsed="false">
      <c r="B94" s="86"/>
      <c r="J94" s="74" t="s">
        <v>121</v>
      </c>
      <c r="K94" s="2" t="n">
        <v>0</v>
      </c>
      <c r="P94" s="27" t="n">
        <f aca="false">$V$7</f>
        <v>48</v>
      </c>
      <c r="Q94" s="22" t="n">
        <f aca="false">$W$7</f>
        <v>8000000000000</v>
      </c>
      <c r="R94" s="22" t="n">
        <f aca="false">IF(ISNUMBER(Q94),($K$28*Q94),("N/A"))</f>
        <v>0.144</v>
      </c>
      <c r="S94" s="22" t="n">
        <f aca="false">IF(ISNUMBER(R93),R93*$K$26,("N/A"))</f>
        <v>1.728</v>
      </c>
      <c r="T94" s="53"/>
    </row>
    <row r="95" customFormat="false" ht="15.75" hidden="false" customHeight="false" outlineLevel="0" collapsed="false">
      <c r="B95" s="86"/>
      <c r="J95" s="74" t="s">
        <v>122</v>
      </c>
      <c r="K95" s="2" t="n">
        <v>0</v>
      </c>
      <c r="P95" s="27" t="n">
        <f aca="false">$V$8</f>
        <v>72</v>
      </c>
      <c r="Q95" s="22" t="n">
        <f aca="false">$W$8</f>
        <v>16000000000000</v>
      </c>
      <c r="R95" s="22" t="n">
        <f aca="false">IF(ISNUMBER(Q95),($K$28*Q95),("N/A"))</f>
        <v>0.288</v>
      </c>
      <c r="S95" s="22" t="n">
        <f aca="false">IF(ISNUMBER(R94),R94*$K$26,("N/A"))</f>
        <v>3.456</v>
      </c>
      <c r="T95" s="53"/>
    </row>
    <row r="96" customFormat="false" ht="15.75" hidden="false" customHeight="false" outlineLevel="0" collapsed="false">
      <c r="J96" s="74" t="s">
        <v>123</v>
      </c>
      <c r="K96" s="2" t="n">
        <v>0</v>
      </c>
      <c r="P96" s="27" t="n">
        <f aca="false">$V$9</f>
        <v>96</v>
      </c>
      <c r="Q96" s="22" t="n">
        <f aca="false">$W$9</f>
        <v>32000000000000</v>
      </c>
      <c r="R96" s="22" t="n">
        <f aca="false">IF(ISNUMBER(Q96),($K$28*Q96),("N/A"))</f>
        <v>0.576</v>
      </c>
      <c r="S96" s="22" t="n">
        <f aca="false">IF(ISNUMBER(R95),R95*$K$26,("N/A"))</f>
        <v>6.912</v>
      </c>
      <c r="T96" s="53"/>
    </row>
    <row r="97" customFormat="false" ht="15.75" hidden="false" customHeight="false" outlineLevel="0" collapsed="false">
      <c r="J97" s="74" t="s">
        <v>124</v>
      </c>
      <c r="K97" s="2" t="s">
        <v>147</v>
      </c>
      <c r="P97" s="27" t="n">
        <f aca="false">$V$10</f>
        <v>120</v>
      </c>
      <c r="Q97" s="22" t="n">
        <f aca="false">$W$10</f>
        <v>64000000000000</v>
      </c>
      <c r="R97" s="22" t="n">
        <f aca="false">IF(ISNUMBER(Q97),($K$28*Q97),("N/A"))</f>
        <v>1.152</v>
      </c>
      <c r="S97" s="22" t="n">
        <f aca="false">IF(ISNUMBER(R96),R96*$K$26,("N/A"))</f>
        <v>13.824</v>
      </c>
      <c r="T97" s="53"/>
    </row>
    <row r="98" customFormat="false" ht="15.75" hidden="false" customHeight="false" outlineLevel="0" collapsed="false">
      <c r="J98" s="74" t="s">
        <v>130</v>
      </c>
      <c r="K98" s="2" t="n">
        <v>0</v>
      </c>
      <c r="P98" s="27" t="n">
        <f aca="false">$V$11</f>
        <v>144</v>
      </c>
      <c r="Q98" s="22" t="n">
        <f aca="false">$W$11</f>
        <v>128000000000000</v>
      </c>
      <c r="R98" s="22" t="n">
        <f aca="false">IF(ISNUMBER(Q98),($K$28*Q98),("N/A"))</f>
        <v>2.304</v>
      </c>
      <c r="S98" s="22" t="n">
        <f aca="false">IF(ISNUMBER(R97),R97*$K$26,("N/A"))</f>
        <v>27.648</v>
      </c>
      <c r="T98" s="53"/>
    </row>
    <row r="99" customFormat="false" ht="15" hidden="false" customHeight="false" outlineLevel="0" collapsed="false">
      <c r="P99" s="27" t="n">
        <f aca="false">$V$12</f>
        <v>159.452548554593</v>
      </c>
      <c r="Q99" s="22" t="str">
        <f aca="false">$W$12</f>
        <v>N/A</v>
      </c>
      <c r="R99" s="22" t="str">
        <f aca="false">IF(ISNUMBER(Q99),($K$28*Q99),("N/A"))</f>
        <v>N/A</v>
      </c>
      <c r="S99" s="22" t="n">
        <f aca="false">IF(ISNUMBER(R98),R98*$K$26,("N/A"))</f>
        <v>55.296</v>
      </c>
      <c r="T99" s="53"/>
    </row>
    <row r="100" customFormat="false" ht="15.75" hidden="false" customHeight="false" outlineLevel="0" collapsed="false">
      <c r="J100" s="88" t="s">
        <v>148</v>
      </c>
      <c r="P100" s="27" t="n">
        <f aca="false">$V$13</f>
        <v>159.452548554593</v>
      </c>
      <c r="Q100" s="22" t="str">
        <f aca="false">$W$13</f>
        <v>N/A</v>
      </c>
      <c r="R100" s="22" t="str">
        <f aca="false">IF(ISNUMBER(Q100),($K$28*Q100),("N/A"))</f>
        <v>N/A</v>
      </c>
      <c r="S100" s="22" t="str">
        <f aca="false">IF(ISNUMBER(R99),R99*$K$26,("N/A"))</f>
        <v>N/A</v>
      </c>
      <c r="T100" s="53"/>
    </row>
    <row r="101" customFormat="false" ht="15" hidden="false" customHeight="false" outlineLevel="0" collapsed="false">
      <c r="P101" s="27" t="n">
        <f aca="false">$V$14</f>
        <v>159.452548554593</v>
      </c>
      <c r="Q101" s="22" t="str">
        <f aca="false">$W$14</f>
        <v>N/A</v>
      </c>
      <c r="R101" s="22" t="str">
        <f aca="false">IF(ISNUMBER(Q101),($K$28*Q101),("N/A"))</f>
        <v>N/A</v>
      </c>
      <c r="S101" s="22" t="str">
        <f aca="false">IF(ISNUMBER(R100),R100*$K$26,("N/A"))</f>
        <v>N/A</v>
      </c>
      <c r="T101" s="53"/>
    </row>
    <row r="102" customFormat="false" ht="15" hidden="false" customHeight="false" outlineLevel="0" collapsed="false">
      <c r="J102" s="13" t="s">
        <v>149</v>
      </c>
      <c r="K102" s="72" t="n">
        <v>0.9</v>
      </c>
      <c r="P102" s="27" t="n">
        <f aca="false">$V$15</f>
        <v>159.452548554593</v>
      </c>
      <c r="Q102" s="22" t="str">
        <f aca="false">$W$15</f>
        <v>N/A</v>
      </c>
      <c r="R102" s="22" t="str">
        <f aca="false">IF(ISNUMBER(Q102),($K$28*Q102),("N/A"))</f>
        <v>N/A</v>
      </c>
      <c r="S102" s="22" t="str">
        <f aca="false">IF(ISNUMBER(R101),R101*$K$26,("N/A"))</f>
        <v>N/A</v>
      </c>
      <c r="T102" s="53"/>
    </row>
    <row r="103" customFormat="false" ht="15" hidden="false" customHeight="false" outlineLevel="0" collapsed="false">
      <c r="J103" s="13" t="s">
        <v>150</v>
      </c>
      <c r="K103" s="72" t="n">
        <v>0.05</v>
      </c>
      <c r="P103" s="27" t="n">
        <f aca="false">$V$16</f>
        <v>159.452548554593</v>
      </c>
      <c r="Q103" s="22" t="str">
        <f aca="false">$W$16</f>
        <v>N/A</v>
      </c>
      <c r="R103" s="22" t="str">
        <f aca="false">IF(ISNUMBER(Q103),($K$28*Q103),("N/A"))</f>
        <v>N/A</v>
      </c>
      <c r="S103" s="22" t="str">
        <f aca="false">IF(ISNUMBER(R102),R102*$K$26,("N/A"))</f>
        <v>N/A</v>
      </c>
      <c r="T103" s="53"/>
    </row>
    <row r="104" customFormat="false" ht="15" hidden="false" customHeight="false" outlineLevel="0" collapsed="false">
      <c r="J104" s="13" t="s">
        <v>151</v>
      </c>
      <c r="K104" s="2" t="n">
        <v>20</v>
      </c>
      <c r="P104" s="27" t="n">
        <f aca="false">$V$17</f>
        <v>159.452548554593</v>
      </c>
      <c r="Q104" s="22" t="str">
        <f aca="false">$W$17</f>
        <v>N/A</v>
      </c>
      <c r="R104" s="22" t="str">
        <f aca="false">IF(ISNUMBER(Q104),($K$28*Q104),("N/A"))</f>
        <v>N/A</v>
      </c>
      <c r="S104" s="22" t="str">
        <f aca="false">IF(ISNUMBER(R103),R103*$K$26,("N/A"))</f>
        <v>N/A</v>
      </c>
      <c r="T104" s="53"/>
    </row>
    <row r="105" customFormat="false" ht="15" hidden="false" customHeight="false" outlineLevel="0" collapsed="false">
      <c r="J105" s="13" t="s">
        <v>152</v>
      </c>
      <c r="K105" s="72" t="n">
        <v>0.15</v>
      </c>
      <c r="P105" s="27" t="n">
        <f aca="false">$V$18</f>
        <v>159.452548554593</v>
      </c>
      <c r="Q105" s="22" t="str">
        <f aca="false">$W$18</f>
        <v>N/A</v>
      </c>
      <c r="R105" s="22" t="str">
        <f aca="false">IF(ISNUMBER(Q105),($K$28*Q105),("N/A"))</f>
        <v>N/A</v>
      </c>
      <c r="S105" s="22" t="str">
        <f aca="false">IF(ISNUMBER(R104),R104*$K$26,("N/A"))</f>
        <v>N/A</v>
      </c>
      <c r="T105" s="53"/>
    </row>
    <row r="106" customFormat="false" ht="15" hidden="false" customHeight="false" outlineLevel="0" collapsed="false">
      <c r="P106" s="27" t="n">
        <f aca="false">$V$19</f>
        <v>159.452548554593</v>
      </c>
      <c r="Q106" s="22" t="str">
        <f aca="false">$W$19</f>
        <v>N/A</v>
      </c>
      <c r="R106" s="22" t="str">
        <f aca="false">IF(ISNUMBER(Q106),($K$28*Q106),("N/A"))</f>
        <v>N/A</v>
      </c>
      <c r="S106" s="22" t="str">
        <f aca="false">IF(ISNUMBER(R105),R105*$K$26,("N/A"))</f>
        <v>N/A</v>
      </c>
      <c r="T106" s="53"/>
    </row>
    <row r="107" customFormat="false" ht="30" hidden="false" customHeight="false" outlineLevel="0" collapsed="false">
      <c r="P107" s="89" t="s">
        <v>153</v>
      </c>
      <c r="Q107" s="90" t="s">
        <v>154</v>
      </c>
      <c r="R107" s="91" t="s">
        <v>155</v>
      </c>
      <c r="S107" s="81"/>
      <c r="T107" s="82"/>
    </row>
    <row r="108" customFormat="false" ht="15" hidden="false" customHeight="false" outlineLevel="0" collapsed="false">
      <c r="P108" s="21" t="n">
        <f aca="false">U5*K28*K14</f>
        <v>864</v>
      </c>
      <c r="Q108" s="22" t="n">
        <f aca="false">T80*K40*K41/K42</f>
        <v>768602.371024931</v>
      </c>
      <c r="R108" s="22" t="n">
        <f aca="false">P108+T92+Q108</f>
        <v>769576.099024931</v>
      </c>
      <c r="S108" s="22"/>
      <c r="T108" s="53"/>
    </row>
    <row r="109" customFormat="false" ht="15" hidden="false" customHeight="false" outlineLevel="0" collapsed="false">
      <c r="P109" s="27"/>
      <c r="Q109" s="24"/>
      <c r="R109" s="24"/>
      <c r="S109" s="22"/>
      <c r="T109" s="53"/>
    </row>
    <row r="110" customFormat="false" ht="15" hidden="false" customHeight="false" outlineLevel="0" collapsed="false">
      <c r="P110" s="27"/>
      <c r="Q110" s="24"/>
      <c r="R110" s="24"/>
      <c r="S110" s="22"/>
      <c r="T110" s="53"/>
    </row>
    <row r="111" customFormat="false" ht="15" hidden="false" customHeight="false" outlineLevel="0" collapsed="false">
      <c r="P111" s="27"/>
      <c r="Q111" s="24"/>
      <c r="R111" s="24"/>
      <c r="S111" s="22"/>
      <c r="T111" s="53"/>
    </row>
    <row r="112" customFormat="false" ht="30" hidden="false" customHeight="false" outlineLevel="0" collapsed="false">
      <c r="P112" s="54" t="s">
        <v>156</v>
      </c>
      <c r="Q112" s="28"/>
      <c r="R112" s="24"/>
      <c r="S112" s="22"/>
      <c r="T112" s="53"/>
    </row>
    <row r="113" customFormat="false" ht="15" hidden="false" customHeight="false" outlineLevel="0" collapsed="false">
      <c r="P113" s="79" t="n">
        <f aca="false">(R108*Q31*K42)/1000</f>
        <v>2811130.80700428</v>
      </c>
      <c r="Q113" s="24"/>
      <c r="R113" s="24"/>
      <c r="S113" s="22"/>
      <c r="T113" s="53"/>
    </row>
    <row r="114" customFormat="false" ht="15" hidden="false" customHeight="false" outlineLevel="0" collapsed="false">
      <c r="P114" s="27" t="s">
        <v>157</v>
      </c>
      <c r="Q114" s="24"/>
      <c r="R114" s="24"/>
      <c r="S114" s="22"/>
      <c r="T114" s="53"/>
    </row>
    <row r="115" customFormat="false" ht="15.75" hidden="false" customHeight="false" outlineLevel="0" collapsed="false">
      <c r="P115" s="87" t="n">
        <f aca="false">P113*N25</f>
        <v>112445232.280171</v>
      </c>
      <c r="Q115" s="43"/>
      <c r="R115" s="43"/>
      <c r="S115" s="42"/>
      <c r="T115" s="57"/>
    </row>
    <row r="118" customFormat="false" ht="15.75" hidden="false" customHeight="false" outlineLevel="0" collapsed="false">
      <c r="P118" s="5" t="s">
        <v>158</v>
      </c>
    </row>
    <row r="119" customFormat="false" ht="30" hidden="false" customHeight="false" outlineLevel="0" collapsed="false">
      <c r="P119" s="15" t="s">
        <v>159</v>
      </c>
      <c r="Q119" s="49" t="s">
        <v>160</v>
      </c>
    </row>
    <row r="120" customFormat="false" ht="15" hidden="false" customHeight="false" outlineLevel="0" collapsed="false">
      <c r="P120" s="92" t="n">
        <f aca="false">(0.09*N28+6.78)/100</f>
        <v>0.071553</v>
      </c>
      <c r="Q120" s="63" t="n">
        <f aca="false">(N29/K44)/100</f>
        <v>0.0167058823529412</v>
      </c>
    </row>
    <row r="121" customFormat="false" ht="15" hidden="false" customHeight="false" outlineLevel="0" collapsed="false">
      <c r="P121" s="27"/>
      <c r="Q121" s="53"/>
    </row>
    <row r="122" customFormat="false" ht="15" hidden="false" customHeight="false" outlineLevel="0" collapsed="false">
      <c r="P122" s="27"/>
      <c r="Q122" s="53"/>
    </row>
    <row r="123" customFormat="false" ht="15" hidden="false" customHeight="false" outlineLevel="0" collapsed="false">
      <c r="P123" s="27" t="s">
        <v>161</v>
      </c>
      <c r="Q123" s="53"/>
    </row>
    <row r="124" customFormat="false" ht="15.75" hidden="false" customHeight="false" outlineLevel="0" collapsed="false">
      <c r="P124" s="87" t="n">
        <f aca="false">(P120*K46) + (Q120*K45)</f>
        <v>0.0441294411764706</v>
      </c>
      <c r="Q124" s="57"/>
    </row>
    <row r="127" customFormat="false" ht="15.75" hidden="false" customHeight="false" outlineLevel="0" collapsed="false">
      <c r="P127" s="5" t="s">
        <v>162</v>
      </c>
    </row>
    <row r="128" customFormat="false" ht="30" hidden="false" customHeight="false" outlineLevel="0" collapsed="false">
      <c r="P128" s="15" t="s">
        <v>163</v>
      </c>
      <c r="Q128" s="16" t="s">
        <v>164</v>
      </c>
      <c r="R128" s="49" t="s">
        <v>165</v>
      </c>
    </row>
    <row r="129" customFormat="false" ht="15.75" hidden="false" customHeight="false" outlineLevel="0" collapsed="false">
      <c r="A129" s="74"/>
      <c r="P129" s="85" t="n">
        <f aca="false">((P86*K40)*(K52-K51)*K53)/K54</f>
        <v>2768267908.75473</v>
      </c>
      <c r="Q129" s="28" t="n">
        <f aca="false">(R108*Q31*K56)/K57</f>
        <v>11420218903.4549</v>
      </c>
      <c r="R129" s="93" t="n">
        <f aca="false">K11*(K60-K61)*K59/K62</f>
        <v>2483646</v>
      </c>
    </row>
    <row r="130" customFormat="false" ht="15" hidden="false" customHeight="false" outlineLevel="0" collapsed="false">
      <c r="P130" s="27"/>
      <c r="Q130" s="24"/>
      <c r="R130" s="53"/>
    </row>
    <row r="131" customFormat="false" ht="15" hidden="false" customHeight="false" outlineLevel="0" collapsed="false">
      <c r="P131" s="27"/>
      <c r="Q131" s="24"/>
      <c r="R131" s="53"/>
    </row>
    <row r="132" customFormat="false" ht="15" hidden="false" customHeight="false" outlineLevel="0" collapsed="false">
      <c r="P132" s="27" t="s">
        <v>166</v>
      </c>
      <c r="Q132" s="24"/>
      <c r="R132" s="53"/>
    </row>
    <row r="133" customFormat="false" ht="15" hidden="false" customHeight="false" outlineLevel="0" collapsed="false">
      <c r="M133" s="2"/>
      <c r="P133" s="79" t="n">
        <f aca="false">P129+Q129+R129</f>
        <v>14190970458.2096</v>
      </c>
      <c r="Q133" s="24"/>
      <c r="R133" s="53"/>
    </row>
    <row r="134" customFormat="false" ht="15" hidden="false" customHeight="false" outlineLevel="0" collapsed="false">
      <c r="P134" s="27" t="s">
        <v>167</v>
      </c>
      <c r="Q134" s="24"/>
      <c r="R134" s="53"/>
    </row>
    <row r="135" customFormat="false" ht="15.75" hidden="false" customHeight="false" outlineLevel="0" collapsed="false">
      <c r="P135" s="87" t="n">
        <f aca="false">P133*P124</f>
        <v>626239596.072593</v>
      </c>
      <c r="Q135" s="43"/>
      <c r="R135" s="57"/>
    </row>
    <row r="138" customFormat="false" ht="15.75" hidden="false" customHeight="false" outlineLevel="0" collapsed="false">
      <c r="P138" s="5" t="s">
        <v>168</v>
      </c>
    </row>
    <row r="139" customFormat="false" ht="30" hidden="false" customHeight="false" outlineLevel="0" collapsed="false">
      <c r="P139" s="15" t="s">
        <v>169</v>
      </c>
      <c r="Q139" s="49" t="s">
        <v>170</v>
      </c>
    </row>
    <row r="140" customFormat="false" ht="15" hidden="false" customHeight="false" outlineLevel="0" collapsed="false">
      <c r="P140" s="94" t="n">
        <f aca="false">((K67*K91)+(K68*K92)+(K93*K69)+(K94*K70)+(K71*K95)+(K96*K78)+(Q30*K79)+(K80*K98))</f>
        <v>5205.23804332578</v>
      </c>
      <c r="Q140" s="53" t="n">
        <f aca="false">K83*K84*K85*K86*K87*K88</f>
        <v>2.52</v>
      </c>
    </row>
    <row r="141" customFormat="false" ht="15" hidden="false" customHeight="false" outlineLevel="0" collapsed="false">
      <c r="P141" s="27"/>
      <c r="Q141" s="53"/>
    </row>
    <row r="142" customFormat="false" ht="15" hidden="false" customHeight="false" outlineLevel="0" collapsed="false">
      <c r="P142" s="27" t="s">
        <v>168</v>
      </c>
      <c r="Q142" s="53"/>
    </row>
    <row r="143" customFormat="false" ht="15.75" hidden="false" customHeight="false" outlineLevel="0" collapsed="false">
      <c r="P143" s="95" t="n">
        <f aca="false">K15*Q140*N32*P140</f>
        <v>1571923257.28306</v>
      </c>
      <c r="Q143" s="57"/>
    </row>
    <row r="146" customFormat="false" ht="15.75" hidden="false" customHeight="false" outlineLevel="0" collapsed="false">
      <c r="P146" s="5" t="s">
        <v>171</v>
      </c>
    </row>
    <row r="147" customFormat="false" ht="30" hidden="false" customHeight="false" outlineLevel="0" collapsed="false">
      <c r="P147" s="29" t="s">
        <v>172</v>
      </c>
      <c r="Q147" s="16" t="s">
        <v>173</v>
      </c>
      <c r="R147" s="16" t="s">
        <v>174</v>
      </c>
      <c r="S147" s="96" t="s">
        <v>175</v>
      </c>
    </row>
    <row r="148" customFormat="false" ht="15" hidden="false" customHeight="false" outlineLevel="0" collapsed="false">
      <c r="P148" s="79" t="n">
        <f aca="false">P86/1000</f>
        <v>140378697.198516</v>
      </c>
      <c r="Q148" s="62" t="n">
        <f aca="false">N36*P148</f>
        <v>88438579.2350649</v>
      </c>
      <c r="R148" s="62" t="n">
        <f aca="false">P148*N37</f>
        <v>71593135.571243</v>
      </c>
      <c r="S148" s="63" t="n">
        <f aca="false">N38*P148</f>
        <v>80015857.403154</v>
      </c>
    </row>
    <row r="149" customFormat="false" ht="15" hidden="false" customHeight="false" outlineLevel="0" collapsed="false">
      <c r="P149" s="27"/>
      <c r="Q149" s="24"/>
      <c r="R149" s="24"/>
      <c r="S149" s="25"/>
    </row>
    <row r="150" customFormat="false" ht="30" hidden="false" customHeight="false" outlineLevel="0" collapsed="false">
      <c r="P150" s="54" t="s">
        <v>176</v>
      </c>
      <c r="Q150" s="24"/>
      <c r="R150" s="24"/>
      <c r="S150" s="25"/>
    </row>
    <row r="151" customFormat="false" ht="15.75" hidden="false" customHeight="false" outlineLevel="0" collapsed="false">
      <c r="P151" s="87" t="n">
        <f aca="false">Q148+R148+S148</f>
        <v>240047572.209462</v>
      </c>
      <c r="Q151" s="43"/>
      <c r="R151" s="43"/>
      <c r="S151" s="44"/>
    </row>
    <row r="154" customFormat="false" ht="15.75" hidden="false" customHeight="false" outlineLevel="0" collapsed="false">
      <c r="P154" s="5" t="s">
        <v>177</v>
      </c>
    </row>
    <row r="155" customFormat="false" ht="15" hidden="false" customHeight="false" outlineLevel="0" collapsed="false">
      <c r="P155" s="29" t="s">
        <v>178</v>
      </c>
      <c r="Q155" s="48" t="s">
        <v>179</v>
      </c>
      <c r="R155" s="48" t="s">
        <v>180</v>
      </c>
      <c r="S155" s="97" t="s">
        <v>181</v>
      </c>
      <c r="T155" s="58" t="s">
        <v>182</v>
      </c>
    </row>
    <row r="156" customFormat="false" ht="15" hidden="false" customHeight="false" outlineLevel="0" collapsed="false">
      <c r="P156" s="98" t="n">
        <f aca="false">1-K102</f>
        <v>0.1</v>
      </c>
      <c r="Q156" s="72" t="n">
        <f aca="false">K102*K103+P156*K105</f>
        <v>0.06</v>
      </c>
      <c r="R156" s="99" t="n">
        <f aca="false">D4</f>
        <v>4051802825.29862</v>
      </c>
      <c r="S156" s="62" t="n">
        <f aca="false">R156*K102</f>
        <v>3646622542.76875</v>
      </c>
      <c r="T156" s="100" t="n">
        <f aca="false">R156*P156</f>
        <v>405180282.529862</v>
      </c>
    </row>
    <row r="157" customFormat="false" ht="15" hidden="false" customHeight="false" outlineLevel="0" collapsed="false">
      <c r="P157" s="27"/>
      <c r="Q157" s="24"/>
      <c r="R157" s="24"/>
      <c r="S157" s="22"/>
      <c r="T157" s="53"/>
    </row>
    <row r="158" customFormat="false" ht="30.75" hidden="false" customHeight="true" outlineLevel="0" collapsed="false">
      <c r="P158" s="80" t="s">
        <v>183</v>
      </c>
      <c r="Q158" s="24" t="s">
        <v>184</v>
      </c>
      <c r="R158" s="24" t="s">
        <v>185</v>
      </c>
      <c r="S158" s="81" t="s">
        <v>186</v>
      </c>
      <c r="T158" s="53"/>
    </row>
    <row r="159" customFormat="false" ht="15" hidden="false" customHeight="false" outlineLevel="0" collapsed="false">
      <c r="P159" s="101" t="n">
        <f aca="false">(K103*(1+K103)^K104)/((1+K103)^K104-1)</f>
        <v>0.0802425871906913</v>
      </c>
      <c r="Q159" s="62" t="n">
        <f aca="false">S156*P159</f>
        <v>292614427.339662</v>
      </c>
      <c r="R159" s="28" t="n">
        <f aca="false">(K105*(1+K105)^K104)/((1+K105)^K104-1)</f>
        <v>0.159761470405744</v>
      </c>
      <c r="S159" s="62" t="n">
        <f aca="false">T156*R159</f>
        <v>64732197.7163855</v>
      </c>
      <c r="T159" s="53"/>
    </row>
    <row r="160" customFormat="false" ht="15" hidden="false" customHeight="false" outlineLevel="0" collapsed="false">
      <c r="P160" s="27"/>
      <c r="Q160" s="24"/>
      <c r="R160" s="24"/>
      <c r="S160" s="22"/>
      <c r="T160" s="53"/>
    </row>
    <row r="161" customFormat="false" ht="30" hidden="false" customHeight="false" outlineLevel="0" collapsed="false">
      <c r="P161" s="54" t="s">
        <v>187</v>
      </c>
      <c r="Q161" s="24"/>
      <c r="R161" s="24"/>
      <c r="S161" s="22"/>
      <c r="T161" s="53"/>
    </row>
    <row r="162" customFormat="false" ht="15.75" hidden="false" customHeight="false" outlineLevel="0" collapsed="false">
      <c r="P162" s="95" t="n">
        <f aca="false">Q159+S159</f>
        <v>357346625.056048</v>
      </c>
      <c r="Q162" s="43"/>
      <c r="R162" s="43"/>
      <c r="S162" s="42"/>
      <c r="T162" s="57"/>
    </row>
    <row r="164" customFormat="false" ht="15" hidden="false" customHeight="false" outlineLevel="0" collapsed="false">
      <c r="P164" s="102"/>
    </row>
  </sheetData>
  <mergeCells count="8">
    <mergeCell ref="P2:Q2"/>
    <mergeCell ref="V4:W4"/>
    <mergeCell ref="B5:C5"/>
    <mergeCell ref="B6:C6"/>
    <mergeCell ref="B24:C24"/>
    <mergeCell ref="B40:C40"/>
    <mergeCell ref="P55:Q55"/>
    <mergeCell ref="B58:C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164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pane xSplit="0" ySplit="4" topLeftCell="A5" activePane="bottomLeft" state="frozen"/>
      <selection pane="topLeft" activeCell="Q1" activeCellId="0" sqref="Q1"/>
      <selection pane="bottom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.57"/>
    <col collapsed="false" customWidth="true" hidden="false" outlineLevel="0" max="5" min="4" style="0" width="24.28"/>
    <col collapsed="false" customWidth="true" hidden="false" outlineLevel="0" max="6" min="6" style="0" width="31.71"/>
    <col collapsed="false" customWidth="true" hidden="false" outlineLevel="0" max="7" min="7" style="0" width="20.71"/>
    <col collapsed="false" customWidth="true" hidden="false" outlineLevel="0" max="8" min="8" style="0" width="30.71"/>
    <col collapsed="false" customWidth="true" hidden="false" outlineLevel="0" max="9" min="9" style="0" width="29.86"/>
    <col collapsed="false" customWidth="true" hidden="false" outlineLevel="0" max="10" min="10" style="1" width="48.71"/>
    <col collapsed="false" customWidth="true" hidden="false" outlineLevel="0" max="11" min="11" style="2" width="16.85"/>
    <col collapsed="false" customWidth="true" hidden="false" outlineLevel="0" max="13" min="13" style="1" width="48.71"/>
    <col collapsed="false" customWidth="true" hidden="false" outlineLevel="0" max="14" min="14" style="0" width="16.57"/>
    <col collapsed="false" customWidth="true" hidden="false" outlineLevel="0" max="15" min="15" style="0" width="9.14"/>
    <col collapsed="false" customWidth="true" hidden="false" outlineLevel="0" max="16" min="16" style="0" width="29.86"/>
    <col collapsed="false" customWidth="true" hidden="false" outlineLevel="0" max="17" min="17" style="0" width="28.3"/>
    <col collapsed="false" customWidth="true" hidden="false" outlineLevel="0" max="18" min="18" style="0" width="29.42"/>
    <col collapsed="false" customWidth="true" hidden="false" outlineLevel="0" max="19" min="19" style="3" width="21.71"/>
    <col collapsed="false" customWidth="true" hidden="false" outlineLevel="0" max="20" min="20" style="0" width="22.85"/>
    <col collapsed="false" customWidth="true" hidden="false" outlineLevel="0" max="21" min="21" style="0" width="22"/>
    <col collapsed="false" customWidth="true" hidden="false" outlineLevel="0" max="24" min="24" style="0" width="18.14"/>
  </cols>
  <sheetData>
    <row r="2" customFormat="false" ht="19.5" hidden="false" customHeight="false" outlineLevel="0" collapsed="false">
      <c r="B2" s="4"/>
      <c r="C2" s="4"/>
      <c r="J2" s="5" t="s">
        <v>0</v>
      </c>
      <c r="M2" s="5" t="s">
        <v>1</v>
      </c>
      <c r="P2" s="6" t="s">
        <v>2</v>
      </c>
      <c r="Q2" s="6"/>
    </row>
    <row r="3" customFormat="false" ht="113.25" hidden="false" customHeight="false" outlineLevel="0" collapsed="false">
      <c r="B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  <c r="M3" s="9" t="s">
        <v>11</v>
      </c>
      <c r="P3" s="5" t="s">
        <v>12</v>
      </c>
      <c r="AA3" s="4"/>
      <c r="AB3" s="4"/>
      <c r="AC3" s="4"/>
    </row>
    <row r="4" customFormat="false" ht="30.75" hidden="false" customHeight="true" outlineLevel="0" collapsed="false">
      <c r="B4" s="103" t="n">
        <f aca="false">(F4+P162)/K11</f>
        <v>499691.147263998</v>
      </c>
      <c r="C4" s="33"/>
      <c r="D4" s="104" t="n">
        <f aca="false">Q42</f>
        <v>4051802825.29861</v>
      </c>
      <c r="E4" s="104" t="n">
        <f aca="false">P162*K104</f>
        <v>7146932501.12095</v>
      </c>
      <c r="F4" s="104" t="n">
        <f aca="false">P58+P88+P115+P135+P143+P151</f>
        <v>60462271472318.7</v>
      </c>
      <c r="G4" s="104" t="n">
        <f aca="false">F4/K11</f>
        <v>499688.193986105</v>
      </c>
      <c r="H4" s="104" t="n">
        <f aca="false">(D4/K104) +F4</f>
        <v>60462474062459.9</v>
      </c>
      <c r="I4" s="104" t="n">
        <f aca="false">H4/K11</f>
        <v>499689.868284793</v>
      </c>
      <c r="J4" s="1" t="s">
        <v>13</v>
      </c>
      <c r="K4" s="14" t="n">
        <f aca="false">10000000</f>
        <v>10000000</v>
      </c>
      <c r="M4" s="1" t="s">
        <v>14</v>
      </c>
      <c r="N4" s="11" t="n">
        <v>50000</v>
      </c>
      <c r="P4" s="15" t="s">
        <v>15</v>
      </c>
      <c r="Q4" s="16" t="s">
        <v>16</v>
      </c>
      <c r="R4" s="16" t="s">
        <v>17</v>
      </c>
      <c r="S4" s="17" t="s">
        <v>18</v>
      </c>
      <c r="T4" s="16" t="s">
        <v>19</v>
      </c>
      <c r="U4" s="16" t="s">
        <v>20</v>
      </c>
      <c r="V4" s="18" t="s">
        <v>21</v>
      </c>
      <c r="W4" s="18"/>
      <c r="X4" s="19"/>
    </row>
    <row r="5" customFormat="false" ht="15" hidden="false" customHeight="false" outlineLevel="0" collapsed="false">
      <c r="B5" s="20" t="s">
        <v>22</v>
      </c>
      <c r="C5" s="20"/>
      <c r="J5" s="1" t="s">
        <v>23</v>
      </c>
      <c r="K5" s="2" t="n">
        <v>2</v>
      </c>
      <c r="N5" s="11"/>
      <c r="P5" s="21" t="n">
        <f aca="false">K4*1000*K5</f>
        <v>20000000000</v>
      </c>
      <c r="Q5" s="22" t="n">
        <f aca="false">K6*1000*K7</f>
        <v>2000000000000</v>
      </c>
      <c r="R5" s="23" t="n">
        <f aca="false">IF(Q5&lt; P5,("Invalid input"),((LN(Q5/P5))/(LN(2)))*K26)</f>
        <v>159.452548554593</v>
      </c>
      <c r="S5" s="23" t="n">
        <f aca="false">IF(Q5&lt;P5,("Invalid input"),((LN(U5/T5))/(LN(2)))*K26)</f>
        <v>159.452548554593</v>
      </c>
      <c r="T5" s="22" t="n">
        <f aca="false">IF(Q5&lt;P5,("Invalid input"),Q5)</f>
        <v>2000000000000</v>
      </c>
      <c r="U5" s="22" t="n">
        <f aca="false">K10*1000*K9</f>
        <v>200000000000000</v>
      </c>
      <c r="V5" s="24" t="n">
        <v>0</v>
      </c>
      <c r="W5" s="25" t="n">
        <f aca="false">IF($U$5&gt;((2^(V5/$K$26))*$T$5),(2^(V5/$K$26))*$T$5, ("N/A"))</f>
        <v>2000000000000</v>
      </c>
      <c r="X5" s="22"/>
    </row>
    <row r="6" customFormat="false" ht="15" hidden="false" customHeight="true" outlineLevel="0" collapsed="false">
      <c r="B6" s="26" t="s">
        <v>24</v>
      </c>
      <c r="C6" s="26"/>
      <c r="J6" s="1" t="s">
        <v>25</v>
      </c>
      <c r="K6" s="2" t="n">
        <v>200</v>
      </c>
      <c r="P6" s="27"/>
      <c r="Q6" s="24"/>
      <c r="R6" s="28"/>
      <c r="S6" s="22"/>
      <c r="T6" s="24"/>
      <c r="U6" s="24"/>
      <c r="V6" s="28" t="n">
        <f aca="false">IF(V5+$K$26&lt;=$S$5,V5+$K$26,IF(V5=("N/A"),("N/A"),$S$5))</f>
        <v>24</v>
      </c>
      <c r="W6" s="25" t="n">
        <f aca="false">IF(($U$5)&gt;((2^(V6/$K$26))*$T$5),(2^(V6/$K$26))*$T$5, "N/A")</f>
        <v>4000000000000</v>
      </c>
      <c r="X6" s="24"/>
    </row>
    <row r="7" customFormat="false" ht="15" hidden="false" customHeight="false" outlineLevel="0" collapsed="false">
      <c r="B7" s="29" t="s">
        <v>26</v>
      </c>
      <c r="C7" s="30" t="n">
        <v>0.361963534320409</v>
      </c>
      <c r="J7" s="1" t="s">
        <v>27</v>
      </c>
      <c r="K7" s="14" t="n">
        <f aca="false">10000000</f>
        <v>10000000</v>
      </c>
      <c r="P7" s="27"/>
      <c r="Q7" s="24"/>
      <c r="R7" s="28"/>
      <c r="S7" s="22"/>
      <c r="T7" s="24"/>
      <c r="U7" s="24"/>
      <c r="V7" s="28" t="n">
        <f aca="false">IF(V6+$K$26&lt;=$S$5,V6+$K$26,IF(V6=("N/A"),("N/A"),$S$5))</f>
        <v>48</v>
      </c>
      <c r="W7" s="25" t="n">
        <f aca="false">IF(($U$5)&gt;((2^(V7/$K$26))*$T$5),(2^(V7/$K$26))*$T$5, "N/A")</f>
        <v>8000000000000</v>
      </c>
      <c r="X7" s="24"/>
    </row>
    <row r="8" customFormat="false" ht="15" hidden="false" customHeight="false" outlineLevel="0" collapsed="false">
      <c r="B8" s="27" t="s">
        <v>28</v>
      </c>
      <c r="C8" s="31" t="n">
        <v>0.333333333333333</v>
      </c>
      <c r="J8" s="1" t="s">
        <v>29</v>
      </c>
      <c r="K8" s="2" t="n">
        <v>20</v>
      </c>
      <c r="P8" s="27"/>
      <c r="Q8" s="24"/>
      <c r="R8" s="28"/>
      <c r="S8" s="22"/>
      <c r="T8" s="24"/>
      <c r="U8" s="24"/>
      <c r="V8" s="28" t="n">
        <f aca="false">IF(V7+$K$26&lt;=$S$5,V7+$K$26,IF(V7=("N/A"),("N/A"),$S$5))</f>
        <v>72</v>
      </c>
      <c r="W8" s="25" t="n">
        <f aca="false">IF(($U$5)&gt;((2^(V8/$K$26))*$T$5),(2^(V8/$K$26))*$T$5, "N/A")</f>
        <v>16000000000000</v>
      </c>
      <c r="X8" s="24"/>
    </row>
    <row r="9" customFormat="false" ht="15" hidden="false" customHeight="false" outlineLevel="0" collapsed="false">
      <c r="B9" s="27" t="s">
        <v>30</v>
      </c>
      <c r="C9" s="31" t="n">
        <v>0.333333333333333</v>
      </c>
      <c r="J9" s="1" t="s">
        <v>31</v>
      </c>
      <c r="K9" s="2" t="n">
        <f aca="false">K8*1000</f>
        <v>20000</v>
      </c>
      <c r="P9" s="27"/>
      <c r="Q9" s="24"/>
      <c r="R9" s="28"/>
      <c r="S9" s="22"/>
      <c r="T9" s="24"/>
      <c r="U9" s="24"/>
      <c r="V9" s="28" t="n">
        <f aca="false">IF(V8+$K$26&lt;=$S$5,V8+$K$26,IF(V8=("N/A"),("N/A"),$S$5))</f>
        <v>96</v>
      </c>
      <c r="W9" s="25" t="n">
        <f aca="false">IF(($U$5)&gt;((2^(V9/$K$26))*$T$5),(2^(V9/$K$26))*$T$5, "N/A")</f>
        <v>32000000000000</v>
      </c>
      <c r="X9" s="24"/>
    </row>
    <row r="10" customFormat="false" ht="15" hidden="false" customHeight="false" outlineLevel="0" collapsed="false">
      <c r="B10" s="27" t="s">
        <v>32</v>
      </c>
      <c r="C10" s="31" t="n">
        <v>0.333333333333333</v>
      </c>
      <c r="J10" s="1" t="s">
        <v>33</v>
      </c>
      <c r="K10" s="14" t="n">
        <f aca="false">10000000</f>
        <v>10000000</v>
      </c>
      <c r="M10" s="9" t="s">
        <v>34</v>
      </c>
      <c r="P10" s="27"/>
      <c r="Q10" s="24"/>
      <c r="R10" s="28"/>
      <c r="S10" s="22"/>
      <c r="T10" s="24"/>
      <c r="U10" s="24"/>
      <c r="V10" s="28" t="n">
        <f aca="false">IF(V9+$K$26&lt;=$S$5,V9+$K$26,IF(V9=("N/A"),("N/A"),$S$5))</f>
        <v>120</v>
      </c>
      <c r="W10" s="25" t="n">
        <f aca="false">IF(($U$5)&gt;((2^(V10/$K$26))*$T$5),(2^(V10/$K$26))*$T$5, "N/A")</f>
        <v>64000000000000</v>
      </c>
      <c r="X10" s="24"/>
    </row>
    <row r="11" customFormat="false" ht="15" hidden="false" customHeight="false" outlineLevel="0" collapsed="false">
      <c r="B11" s="27" t="s">
        <v>31</v>
      </c>
      <c r="C11" s="31" t="n">
        <v>0.309570443988403</v>
      </c>
      <c r="J11" s="105" t="s">
        <v>35</v>
      </c>
      <c r="K11" s="32" t="n">
        <v>121000000</v>
      </c>
      <c r="M11" s="1" t="s">
        <v>36</v>
      </c>
      <c r="N11" s="33" t="n">
        <v>3.12</v>
      </c>
      <c r="P11" s="27"/>
      <c r="Q11" s="24"/>
      <c r="R11" s="28"/>
      <c r="S11" s="22"/>
      <c r="T11" s="24"/>
      <c r="U11" s="24"/>
      <c r="V11" s="28" t="n">
        <f aca="false">IF(V10+$K$26&lt;=$S$5,V10+$K$26,IF(V10=("N/A"),("N/A"),$S$5))</f>
        <v>144</v>
      </c>
      <c r="W11" s="25" t="n">
        <f aca="false">IF(($U$5)&gt;((2^(V11/$K$26))*$T$5),(2^(V11/$K$26))*$T$5, "N/A")</f>
        <v>128000000000000</v>
      </c>
      <c r="X11" s="24"/>
    </row>
    <row r="12" customFormat="false" ht="15" hidden="false" customHeight="false" outlineLevel="0" collapsed="false">
      <c r="B12" s="27" t="s">
        <v>33</v>
      </c>
      <c r="C12" s="31" t="n">
        <v>0.309570443988403</v>
      </c>
      <c r="F12" s="34"/>
      <c r="J12" s="1" t="s">
        <v>37</v>
      </c>
      <c r="K12" s="2" t="n">
        <v>1.29</v>
      </c>
      <c r="M12" s="1" t="s">
        <v>38</v>
      </c>
      <c r="N12" s="11" t="n">
        <v>7.84</v>
      </c>
      <c r="P12" s="27"/>
      <c r="Q12" s="24"/>
      <c r="R12" s="28"/>
      <c r="S12" s="22"/>
      <c r="T12" s="24"/>
      <c r="U12" s="24"/>
      <c r="V12" s="28" t="n">
        <f aca="false">IF(V11+$K$26&lt;=$S$5,V11+$K$26,IF(V11=("N/A"),("N/A"),$S$5))</f>
        <v>159.452548554593</v>
      </c>
      <c r="W12" s="25" t="str">
        <f aca="false">IF(($U$5)&gt;((2^(V12/$K$26))*$T$5),(2^(V12/$K$26))*$T$5, "N/A")</f>
        <v>N/A</v>
      </c>
      <c r="X12" s="24"/>
    </row>
    <row r="13" customFormat="false" ht="15" hidden="false" customHeight="false" outlineLevel="0" collapsed="false">
      <c r="B13" s="27" t="s">
        <v>14</v>
      </c>
      <c r="C13" s="31" t="n">
        <v>0.25</v>
      </c>
      <c r="J13" s="1" t="s">
        <v>39</v>
      </c>
      <c r="K13" s="2" t="n">
        <v>2</v>
      </c>
      <c r="M13" s="1" t="s">
        <v>40</v>
      </c>
      <c r="N13" s="11" t="n">
        <v>0.01</v>
      </c>
      <c r="P13" s="27"/>
      <c r="Q13" s="24"/>
      <c r="R13" s="24"/>
      <c r="S13" s="22"/>
      <c r="T13" s="24"/>
      <c r="U13" s="24"/>
      <c r="V13" s="28" t="n">
        <f aca="false">IF(V12+$K$26&lt;=$S$5,V12+$K$26,IF(V12=("N/A"),("N/A"),$S$5))</f>
        <v>159.452548554593</v>
      </c>
      <c r="W13" s="25" t="str">
        <f aca="false">IF(($U$5)&gt;((2^(V13/$K$26))*$T$5),(2^(V13/$K$26))*$T$5, "N/A")</f>
        <v>N/A</v>
      </c>
      <c r="X13" s="24"/>
    </row>
    <row r="14" customFormat="false" ht="15.75" hidden="false" customHeight="false" outlineLevel="0" collapsed="false">
      <c r="B14" s="27" t="s">
        <v>37</v>
      </c>
      <c r="C14" s="31" t="n">
        <v>0.25</v>
      </c>
      <c r="F14" s="2"/>
      <c r="J14" s="74" t="s">
        <v>41</v>
      </c>
      <c r="K14" s="2" t="n">
        <v>240</v>
      </c>
      <c r="M14" s="1" t="s">
        <v>42</v>
      </c>
      <c r="N14" s="11" t="n">
        <v>0.1</v>
      </c>
      <c r="P14" s="27"/>
      <c r="Q14" s="24"/>
      <c r="R14" s="24"/>
      <c r="S14" s="22"/>
      <c r="T14" s="24"/>
      <c r="U14" s="24"/>
      <c r="V14" s="28" t="n">
        <f aca="false">IF(V13+$K$26&lt;=$S$5,V13+$K$26,IF(V13=("N/A"),("N/A"),$S$5))</f>
        <v>159.452548554593</v>
      </c>
      <c r="W14" s="25" t="str">
        <f aca="false">IF(($U$5)&gt;((2^(V14/$K$26))*$T$5),(2^(V14/$K$26))*$T$5, "N/A")</f>
        <v>N/A</v>
      </c>
      <c r="X14" s="24"/>
    </row>
    <row r="15" customFormat="false" ht="15.75" hidden="false" customHeight="false" outlineLevel="0" collapsed="false">
      <c r="B15" s="27" t="s">
        <v>43</v>
      </c>
      <c r="C15" s="31" t="n">
        <v>0.25</v>
      </c>
      <c r="J15" s="74" t="s">
        <v>32</v>
      </c>
      <c r="K15" s="2" t="n">
        <v>8760</v>
      </c>
      <c r="M15" s="1" t="s">
        <v>44</v>
      </c>
      <c r="N15" s="11" t="n">
        <v>340</v>
      </c>
      <c r="P15" s="27"/>
      <c r="Q15" s="24"/>
      <c r="R15" s="24"/>
      <c r="S15" s="22"/>
      <c r="T15" s="24"/>
      <c r="U15" s="24"/>
      <c r="V15" s="28" t="n">
        <f aca="false">IF(V14+$K$26&lt;=$S$5,V14+$K$26,IF(V14=("N/A"),("N/A"),$S$5))</f>
        <v>159.452548554593</v>
      </c>
      <c r="W15" s="25" t="str">
        <f aca="false">IF(($U$5)&gt;((2^(V15/$K$26))*$T$5),(2^(V15/$K$26))*$T$5, "N/A")</f>
        <v>N/A</v>
      </c>
      <c r="X15" s="24"/>
    </row>
    <row r="16" customFormat="false" ht="15" hidden="false" customHeight="false" outlineLevel="0" collapsed="false">
      <c r="B16" s="27" t="s">
        <v>39</v>
      </c>
      <c r="C16" s="31" t="n">
        <v>0.25</v>
      </c>
      <c r="J16" s="1" t="s">
        <v>26</v>
      </c>
      <c r="K16" s="2" t="n">
        <v>0.6</v>
      </c>
      <c r="M16" s="1" t="s">
        <v>45</v>
      </c>
      <c r="N16" s="11" t="n">
        <v>400</v>
      </c>
      <c r="P16" s="27"/>
      <c r="Q16" s="24"/>
      <c r="R16" s="24"/>
      <c r="S16" s="22"/>
      <c r="T16" s="24"/>
      <c r="U16" s="24"/>
      <c r="V16" s="28" t="n">
        <f aca="false">IF(V15+$K$26&lt;=$S$5,V15+$K$26,IF(V15=("N/A"),("N/A"),$S$5))</f>
        <v>159.452548554593</v>
      </c>
      <c r="W16" s="25" t="str">
        <f aca="false">IF(($U$5)&gt;((2^(V16/$K$26))*$T$5),(2^(V16/$K$26))*$T$5, "N/A")</f>
        <v>N/A</v>
      </c>
      <c r="X16" s="24"/>
    </row>
    <row r="17" customFormat="false" ht="15" hidden="false" customHeight="true" outlineLevel="0" collapsed="false">
      <c r="B17" s="27" t="s">
        <v>29</v>
      </c>
      <c r="C17" s="31" t="n">
        <v>0.15853364091535</v>
      </c>
      <c r="J17" s="1" t="s">
        <v>46</v>
      </c>
      <c r="K17" s="2" t="n">
        <v>0.5</v>
      </c>
      <c r="M17" s="1" t="s">
        <v>47</v>
      </c>
      <c r="N17" s="11" t="n">
        <v>4010000</v>
      </c>
      <c r="P17" s="106"/>
      <c r="Q17" s="107"/>
      <c r="R17" s="107"/>
      <c r="S17" s="22"/>
      <c r="T17" s="24"/>
      <c r="U17" s="24"/>
      <c r="V17" s="28" t="n">
        <f aca="false">IF(V16+$K$26&lt;=$S$5,V16+$K$26,IF(V16=("N/A"),("N/A"),$S$5))</f>
        <v>159.452548554593</v>
      </c>
      <c r="W17" s="25" t="str">
        <f aca="false">IF(($U$5)&gt;((2^(V17/$K$26))*$T$5),(2^(V17/$K$26))*$T$5, "N/A")</f>
        <v>N/A</v>
      </c>
      <c r="X17" s="24"/>
    </row>
    <row r="18" customFormat="false" ht="15" hidden="false" customHeight="false" outlineLevel="0" collapsed="false">
      <c r="B18" s="27" t="s">
        <v>48</v>
      </c>
      <c r="C18" s="31" t="n">
        <v>0.142647248503661</v>
      </c>
      <c r="J18" s="1" t="s">
        <v>49</v>
      </c>
      <c r="K18" s="2" t="n">
        <v>0.15</v>
      </c>
      <c r="M18" s="1" t="s">
        <v>50</v>
      </c>
      <c r="N18" s="11" t="n">
        <v>3236000</v>
      </c>
      <c r="P18" s="106"/>
      <c r="Q18" s="107"/>
      <c r="R18" s="107"/>
      <c r="S18" s="22"/>
      <c r="T18" s="24"/>
      <c r="U18" s="24"/>
      <c r="V18" s="28" t="n">
        <f aca="false">IF(V17+$K$26&lt;=$S$5,V17+$K$26,IF(V17=("N/A"),("N/A"),$S$5))</f>
        <v>159.452548554593</v>
      </c>
      <c r="W18" s="25" t="str">
        <f aca="false">IF(($U$5)&gt;((2^(V18/$K$26))*$T$5),(2^(V18/$K$26))*$T$5, "N/A")</f>
        <v>N/A</v>
      </c>
      <c r="X18" s="24"/>
    </row>
    <row r="19" customFormat="false" ht="13.5" hidden="false" customHeight="true" outlineLevel="0" collapsed="false">
      <c r="B19" s="27" t="s">
        <v>41</v>
      </c>
      <c r="C19" s="31" t="n">
        <v>0.107352751496339</v>
      </c>
      <c r="N19" s="11"/>
      <c r="P19" s="36" t="s">
        <v>51</v>
      </c>
      <c r="Q19" s="38" t="n">
        <f aca="false">S5</f>
        <v>159.452548554593</v>
      </c>
      <c r="R19" s="107"/>
      <c r="S19" s="22"/>
      <c r="T19" s="24"/>
      <c r="U19" s="24"/>
      <c r="V19" s="28" t="n">
        <f aca="false">IF(V18+$K$26&lt;=$S$5,V18+$K$26,IF(V18=("N/A"),("N/A"),$S$5))</f>
        <v>159.452548554593</v>
      </c>
      <c r="W19" s="25" t="str">
        <f aca="false">IF(($U$5)&gt;((2^(V19/$K$26))*$T$5),(2^(V19/$K$26))*$T$5, "N/A")</f>
        <v>N/A</v>
      </c>
      <c r="X19" s="24"/>
    </row>
    <row r="20" customFormat="false" ht="15.75" hidden="false" customHeight="false" outlineLevel="0" collapsed="false">
      <c r="B20" s="27" t="s">
        <v>13</v>
      </c>
      <c r="C20" s="31" t="n">
        <v>0.0178221670086974</v>
      </c>
      <c r="N20" s="11"/>
      <c r="P20" s="39" t="s">
        <v>52</v>
      </c>
      <c r="Q20" s="40" t="n">
        <f aca="false">Q19+K14</f>
        <v>399.452548554593</v>
      </c>
      <c r="R20" s="43"/>
      <c r="S20" s="42"/>
      <c r="T20" s="43"/>
      <c r="U20" s="43"/>
      <c r="V20" s="43"/>
      <c r="W20" s="44"/>
      <c r="X20" s="24"/>
    </row>
    <row r="21" customFormat="false" ht="15.75" hidden="false" customHeight="false" outlineLevel="0" collapsed="false">
      <c r="B21" s="45" t="s">
        <v>23</v>
      </c>
      <c r="C21" s="46" t="n">
        <v>0.0178221670086974</v>
      </c>
      <c r="N21" s="11"/>
      <c r="P21" s="47"/>
      <c r="Q21" s="28"/>
      <c r="R21" s="24"/>
      <c r="S21" s="22"/>
      <c r="T21" s="24"/>
      <c r="U21" s="24"/>
      <c r="V21" s="24"/>
      <c r="W21" s="22"/>
    </row>
    <row r="22" customFormat="false" ht="15" hidden="false" customHeight="false" outlineLevel="0" collapsed="false">
      <c r="N22" s="11"/>
      <c r="P22" s="47"/>
      <c r="Q22" s="28"/>
      <c r="R22" s="24"/>
      <c r="S22" s="22"/>
      <c r="T22" s="24"/>
      <c r="U22" s="24"/>
      <c r="V22" s="24"/>
      <c r="W22" s="22"/>
    </row>
    <row r="23" customFormat="false" ht="15.75" hidden="false" customHeight="false" outlineLevel="0" collapsed="false">
      <c r="J23" s="9" t="s">
        <v>53</v>
      </c>
      <c r="N23" s="11"/>
      <c r="P23" s="5" t="s">
        <v>54</v>
      </c>
      <c r="V23" s="24"/>
      <c r="W23" s="22"/>
    </row>
    <row r="24" customFormat="false" ht="30.75" hidden="false" customHeight="true" outlineLevel="0" collapsed="false">
      <c r="B24" s="26" t="s">
        <v>55</v>
      </c>
      <c r="C24" s="26"/>
      <c r="J24" s="1" t="s">
        <v>28</v>
      </c>
      <c r="K24" s="14" t="n">
        <v>5E-015</v>
      </c>
      <c r="N24" s="11"/>
      <c r="P24" s="15" t="s">
        <v>20</v>
      </c>
      <c r="Q24" s="16" t="s">
        <v>56</v>
      </c>
      <c r="R24" s="48" t="s">
        <v>57</v>
      </c>
      <c r="S24" s="17" t="s">
        <v>58</v>
      </c>
      <c r="T24" s="49" t="s">
        <v>59</v>
      </c>
    </row>
    <row r="25" customFormat="false" ht="15" hidden="false" customHeight="false" outlineLevel="0" collapsed="false">
      <c r="B25" s="29" t="s">
        <v>28</v>
      </c>
      <c r="C25" s="30" t="n">
        <v>0.33332362084795</v>
      </c>
      <c r="J25" s="1" t="s">
        <v>30</v>
      </c>
      <c r="K25" s="2" t="n">
        <v>1060</v>
      </c>
      <c r="M25" s="1" t="s">
        <v>60</v>
      </c>
      <c r="N25" s="11" t="n">
        <v>40</v>
      </c>
      <c r="P25" s="27" t="n">
        <f aca="false">K10*1000*K9</f>
        <v>200000000000000</v>
      </c>
      <c r="Q25" s="50" t="n">
        <f aca="false">IF(P25*K24&lt;K8,(P25*K24),("exceeds bioreactor volume "))</f>
        <v>1</v>
      </c>
      <c r="R25" s="24" t="n">
        <f aca="false">Q25*K25</f>
        <v>1060</v>
      </c>
      <c r="S25" s="51" t="n">
        <f aca="false">K15/Q20</f>
        <v>21.9300140447164</v>
      </c>
      <c r="T25" s="52" t="n">
        <f aca="false">S25*R25</f>
        <v>23245.8148873994</v>
      </c>
    </row>
    <row r="26" customFormat="false" ht="15" hidden="false" customHeight="false" outlineLevel="0" collapsed="false">
      <c r="B26" s="27" t="s">
        <v>30</v>
      </c>
      <c r="C26" s="31" t="n">
        <v>0.33332362084795</v>
      </c>
      <c r="J26" s="1" t="s">
        <v>48</v>
      </c>
      <c r="K26" s="2" t="n">
        <v>24</v>
      </c>
      <c r="P26" s="27"/>
      <c r="Q26" s="24"/>
      <c r="R26" s="24"/>
      <c r="S26" s="22"/>
      <c r="T26" s="53"/>
    </row>
    <row r="27" customFormat="false" ht="15" hidden="false" customHeight="false" outlineLevel="0" collapsed="false">
      <c r="B27" s="27" t="s">
        <v>61</v>
      </c>
      <c r="C27" s="31" t="n">
        <v>0.333309228174975</v>
      </c>
      <c r="J27" s="1" t="s">
        <v>62</v>
      </c>
      <c r="K27" s="14" t="n">
        <v>4.13E-013</v>
      </c>
      <c r="M27" s="9" t="s">
        <v>63</v>
      </c>
      <c r="P27" s="27"/>
      <c r="Q27" s="24"/>
      <c r="R27" s="24"/>
      <c r="S27" s="22"/>
      <c r="T27" s="53"/>
    </row>
    <row r="28" customFormat="false" ht="15" hidden="false" customHeight="false" outlineLevel="0" collapsed="false">
      <c r="B28" s="27" t="s">
        <v>43</v>
      </c>
      <c r="C28" s="31" t="n">
        <v>0.250005455289951</v>
      </c>
      <c r="J28" s="1" t="s">
        <v>64</v>
      </c>
      <c r="K28" s="14" t="n">
        <v>1.8E-014</v>
      </c>
      <c r="M28" s="1" t="s">
        <v>65</v>
      </c>
      <c r="N28" s="33" t="n">
        <v>4.17</v>
      </c>
      <c r="P28" s="27"/>
      <c r="Q28" s="24"/>
      <c r="R28" s="24"/>
      <c r="S28" s="22"/>
      <c r="T28" s="53"/>
    </row>
    <row r="29" customFormat="false" ht="15" hidden="false" customHeight="false" outlineLevel="0" collapsed="false">
      <c r="B29" s="27" t="s">
        <v>62</v>
      </c>
      <c r="C29" s="31" t="n">
        <v>0.249994660332044</v>
      </c>
      <c r="M29" s="1" t="s">
        <v>66</v>
      </c>
      <c r="N29" s="33" t="n">
        <v>1.42</v>
      </c>
      <c r="P29" s="27"/>
      <c r="Q29" s="24"/>
      <c r="R29" s="24"/>
      <c r="S29" s="22"/>
      <c r="T29" s="53"/>
    </row>
    <row r="30" customFormat="false" ht="30" hidden="false" customHeight="false" outlineLevel="0" collapsed="false">
      <c r="B30" s="27" t="s">
        <v>67</v>
      </c>
      <c r="C30" s="31" t="n">
        <v>0.237564574319464</v>
      </c>
      <c r="N30" s="33"/>
      <c r="P30" s="54" t="s">
        <v>68</v>
      </c>
      <c r="Q30" s="55" t="n">
        <f aca="false">K11/T25</f>
        <v>5205.23804332577</v>
      </c>
      <c r="R30" s="24"/>
      <c r="S30" s="22"/>
      <c r="T30" s="53"/>
    </row>
    <row r="31" customFormat="false" ht="15.75" hidden="false" customHeight="false" outlineLevel="0" collapsed="false">
      <c r="B31" s="27" t="s">
        <v>47</v>
      </c>
      <c r="C31" s="31" t="n">
        <v>0.237557294776142</v>
      </c>
      <c r="J31" s="9" t="s">
        <v>69</v>
      </c>
      <c r="N31" s="33"/>
      <c r="P31" s="45" t="s">
        <v>70</v>
      </c>
      <c r="Q31" s="56" t="n">
        <f aca="false">Q30*S25</f>
        <v>114150.943396226</v>
      </c>
      <c r="R31" s="43"/>
      <c r="S31" s="42"/>
      <c r="T31" s="57"/>
    </row>
    <row r="32" customFormat="false" ht="15.75" hidden="false" customHeight="false" outlineLevel="0" collapsed="false">
      <c r="B32" s="27" t="s">
        <v>41</v>
      </c>
      <c r="C32" s="31" t="n">
        <v>0.221828580707914</v>
      </c>
      <c r="J32" s="1" t="s">
        <v>71</v>
      </c>
      <c r="K32" s="14" t="n">
        <v>0.064</v>
      </c>
      <c r="M32" s="74" t="s">
        <v>72</v>
      </c>
      <c r="N32" s="33" t="n">
        <v>13.68</v>
      </c>
    </row>
    <row r="33" customFormat="false" ht="15.75" hidden="false" customHeight="false" outlineLevel="0" collapsed="false">
      <c r="B33" s="27" t="s">
        <v>25</v>
      </c>
      <c r="C33" s="31" t="n">
        <v>0.0569996039451294</v>
      </c>
      <c r="J33" s="1" t="s">
        <v>73</v>
      </c>
      <c r="K33" s="14" t="n">
        <v>0.543</v>
      </c>
      <c r="N33" s="33"/>
      <c r="P33" s="5" t="s">
        <v>74</v>
      </c>
    </row>
    <row r="34" customFormat="false" ht="15" hidden="false" customHeight="false" outlineLevel="0" collapsed="false">
      <c r="B34" s="27" t="s">
        <v>27</v>
      </c>
      <c r="C34" s="31" t="n">
        <v>0.0569996039451294</v>
      </c>
      <c r="J34" s="1" t="s">
        <v>75</v>
      </c>
      <c r="K34" s="14" t="n">
        <v>1.4E-005</v>
      </c>
      <c r="N34" s="33"/>
      <c r="P34" s="29" t="s">
        <v>76</v>
      </c>
      <c r="Q34" s="48"/>
      <c r="R34" s="58"/>
    </row>
    <row r="35" customFormat="false" ht="30" hidden="false" customHeight="false" outlineLevel="0" collapsed="false">
      <c r="B35" s="27" t="s">
        <v>31</v>
      </c>
      <c r="C35" s="31" t="n">
        <v>0.0375670387596748</v>
      </c>
      <c r="J35" s="1" t="s">
        <v>77</v>
      </c>
      <c r="K35" s="14" t="n">
        <v>0.0194</v>
      </c>
      <c r="M35" s="9" t="s">
        <v>78</v>
      </c>
      <c r="N35" s="33"/>
      <c r="P35" s="27" t="s">
        <v>79</v>
      </c>
      <c r="Q35" s="59" t="s">
        <v>80</v>
      </c>
      <c r="R35" s="60" t="s">
        <v>81</v>
      </c>
    </row>
    <row r="36" customFormat="false" ht="15" hidden="false" customHeight="false" outlineLevel="0" collapsed="false">
      <c r="B36" s="27" t="s">
        <v>33</v>
      </c>
      <c r="C36" s="31" t="n">
        <v>0.0375670387596748</v>
      </c>
      <c r="J36" s="1" t="s">
        <v>82</v>
      </c>
      <c r="K36" s="14" t="n">
        <v>0.0107</v>
      </c>
      <c r="M36" s="1" t="s">
        <v>83</v>
      </c>
      <c r="N36" s="33" t="n">
        <v>0.63</v>
      </c>
      <c r="P36" s="61" t="n">
        <f aca="false">Q30</f>
        <v>5205.23804332577</v>
      </c>
      <c r="Q36" s="62" t="n">
        <f aca="false">P36* K12*N4*(K8^K16)</f>
        <v>2025901412.64931</v>
      </c>
      <c r="R36" s="63" t="n">
        <f aca="false">Q36*K13</f>
        <v>4051802825.29861</v>
      </c>
    </row>
    <row r="37" customFormat="false" ht="15.75" hidden="false" customHeight="false" outlineLevel="0" collapsed="false">
      <c r="B37" s="45" t="s">
        <v>48</v>
      </c>
      <c r="C37" s="46" t="n">
        <v>0.0281841536721815</v>
      </c>
      <c r="J37" s="1" t="s">
        <v>67</v>
      </c>
      <c r="K37" s="14" t="n">
        <v>0.0001</v>
      </c>
      <c r="M37" s="1" t="s">
        <v>84</v>
      </c>
      <c r="N37" s="33" t="n">
        <v>0.51</v>
      </c>
      <c r="P37" s="27"/>
      <c r="Q37" s="24"/>
      <c r="R37" s="53"/>
    </row>
    <row r="38" customFormat="false" ht="15" hidden="false" customHeight="false" outlineLevel="0" collapsed="false">
      <c r="C38" s="64"/>
      <c r="J38" s="1" t="s">
        <v>85</v>
      </c>
      <c r="K38" s="14" t="n">
        <v>2E-006</v>
      </c>
      <c r="M38" s="1" t="s">
        <v>86</v>
      </c>
      <c r="N38" s="33" t="n">
        <v>0.57</v>
      </c>
      <c r="P38" s="27"/>
      <c r="Q38" s="24"/>
      <c r="R38" s="53"/>
    </row>
    <row r="39" customFormat="false" ht="15" hidden="false" customHeight="false" outlineLevel="0" collapsed="false">
      <c r="C39" s="64"/>
      <c r="J39" s="1" t="s">
        <v>61</v>
      </c>
      <c r="K39" s="14" t="n">
        <v>0.0178</v>
      </c>
      <c r="P39" s="27"/>
      <c r="Q39" s="65"/>
      <c r="R39" s="60"/>
    </row>
    <row r="40" customFormat="false" ht="15.75" hidden="false" customHeight="false" outlineLevel="0" collapsed="false">
      <c r="B40" s="66" t="s">
        <v>87</v>
      </c>
      <c r="C40" s="66"/>
      <c r="J40" s="1" t="s">
        <v>88</v>
      </c>
      <c r="K40" s="2" t="n">
        <v>1</v>
      </c>
      <c r="P40" s="27"/>
      <c r="Q40" s="62"/>
      <c r="R40" s="63"/>
    </row>
    <row r="41" customFormat="false" ht="15" hidden="false" customHeight="false" outlineLevel="0" collapsed="false">
      <c r="B41" s="29" t="s">
        <v>26</v>
      </c>
      <c r="C41" s="67" t="n">
        <v>0.56730853766308</v>
      </c>
      <c r="J41" s="1" t="s">
        <v>89</v>
      </c>
      <c r="K41" s="68" t="n">
        <v>0.02</v>
      </c>
      <c r="P41" s="27"/>
      <c r="Q41" s="24"/>
      <c r="R41" s="53"/>
    </row>
    <row r="42" customFormat="false" ht="15.75" hidden="false" customHeight="false" outlineLevel="0" collapsed="false">
      <c r="B42" s="27" t="s">
        <v>14</v>
      </c>
      <c r="C42" s="69" t="n">
        <v>0.25</v>
      </c>
      <c r="J42" s="1" t="s">
        <v>90</v>
      </c>
      <c r="K42" s="70" t="n">
        <v>0.032</v>
      </c>
      <c r="P42" s="45" t="s">
        <v>91</v>
      </c>
      <c r="Q42" s="71" t="n">
        <f aca="false">R36</f>
        <v>4051802825.29861</v>
      </c>
      <c r="R42" s="57"/>
    </row>
    <row r="43" customFormat="false" ht="15" hidden="false" customHeight="false" outlineLevel="0" collapsed="false">
      <c r="B43" s="27" t="s">
        <v>39</v>
      </c>
      <c r="C43" s="69" t="n">
        <v>0.25</v>
      </c>
      <c r="J43" s="9" t="s">
        <v>92</v>
      </c>
      <c r="P43" s="24"/>
      <c r="Q43" s="24"/>
      <c r="R43" s="24"/>
    </row>
    <row r="44" customFormat="false" ht="15" hidden="false" customHeight="false" outlineLevel="0" collapsed="false">
      <c r="B44" s="27" t="s">
        <v>37</v>
      </c>
      <c r="C44" s="69" t="n">
        <v>0.25</v>
      </c>
      <c r="J44" s="1" t="s">
        <v>93</v>
      </c>
      <c r="K44" s="72" t="n">
        <v>0.85</v>
      </c>
      <c r="P44" s="24"/>
      <c r="Q44" s="24"/>
      <c r="R44" s="24"/>
    </row>
    <row r="45" customFormat="false" ht="15" hidden="false" customHeight="false" outlineLevel="0" collapsed="false">
      <c r="B45" s="27" t="s">
        <v>43</v>
      </c>
      <c r="C45" s="69" t="n">
        <v>0.25</v>
      </c>
      <c r="J45" s="1" t="s">
        <v>94</v>
      </c>
      <c r="K45" s="72" t="n">
        <v>0.5</v>
      </c>
      <c r="P45" s="24"/>
      <c r="Q45" s="24"/>
      <c r="R45" s="24"/>
    </row>
    <row r="46" customFormat="false" ht="15" hidden="false" customHeight="false" outlineLevel="0" collapsed="false">
      <c r="B46" s="27" t="s">
        <v>28</v>
      </c>
      <c r="C46" s="69" t="n">
        <v>0.2</v>
      </c>
      <c r="J46" s="1" t="s">
        <v>95</v>
      </c>
      <c r="K46" s="72" t="n">
        <v>0.5</v>
      </c>
      <c r="P46" s="24"/>
      <c r="Q46" s="24"/>
      <c r="R46" s="24"/>
    </row>
    <row r="47" customFormat="false" ht="15" hidden="false" customHeight="false" outlineLevel="0" collapsed="false">
      <c r="B47" s="27" t="s">
        <v>30</v>
      </c>
      <c r="C47" s="69" t="n">
        <v>0.2</v>
      </c>
      <c r="J47" s="1" t="s">
        <v>96</v>
      </c>
      <c r="K47" s="72" t="n">
        <v>0</v>
      </c>
      <c r="P47" s="24"/>
      <c r="Q47" s="24"/>
      <c r="R47" s="24"/>
    </row>
    <row r="48" customFormat="false" ht="15" hidden="false" customHeight="false" outlineLevel="0" collapsed="false">
      <c r="B48" s="27" t="s">
        <v>32</v>
      </c>
      <c r="C48" s="69" t="n">
        <v>0.2</v>
      </c>
      <c r="K48" s="72"/>
      <c r="P48" s="24"/>
      <c r="Q48" s="24"/>
      <c r="R48" s="24"/>
    </row>
    <row r="49" customFormat="false" ht="15" hidden="false" customHeight="false" outlineLevel="0" collapsed="false">
      <c r="B49" s="27" t="s">
        <v>31</v>
      </c>
      <c r="C49" s="69" t="n">
        <v>0.188940842633557</v>
      </c>
      <c r="K49" s="72"/>
      <c r="P49" s="24"/>
      <c r="Q49" s="24"/>
      <c r="R49" s="24"/>
    </row>
    <row r="50" customFormat="false" ht="15" hidden="false" customHeight="false" outlineLevel="0" collapsed="false">
      <c r="B50" s="27" t="s">
        <v>33</v>
      </c>
      <c r="C50" s="69" t="n">
        <v>0.188940842633557</v>
      </c>
      <c r="J50" s="9" t="s">
        <v>97</v>
      </c>
      <c r="P50" s="24"/>
      <c r="Q50" s="24"/>
      <c r="R50" s="24"/>
    </row>
    <row r="51" customFormat="false" ht="15" hidden="false" customHeight="false" outlineLevel="0" collapsed="false">
      <c r="B51" s="27" t="s">
        <v>29</v>
      </c>
      <c r="C51" s="69" t="n">
        <v>0.143262629818316</v>
      </c>
      <c r="J51" s="1" t="s">
        <v>98</v>
      </c>
      <c r="K51" s="2" t="n">
        <v>20</v>
      </c>
      <c r="P51" s="24"/>
      <c r="Q51" s="62"/>
      <c r="R51" s="24"/>
    </row>
    <row r="52" customFormat="false" ht="15" hidden="false" customHeight="false" outlineLevel="0" collapsed="false">
      <c r="B52" s="27" t="s">
        <v>48</v>
      </c>
      <c r="C52" s="69" t="n">
        <v>0.14264724850366</v>
      </c>
      <c r="J52" s="1" t="s">
        <v>99</v>
      </c>
      <c r="K52" s="2" t="n">
        <v>37</v>
      </c>
    </row>
    <row r="53" customFormat="false" ht="15" hidden="false" customHeight="false" outlineLevel="0" collapsed="false">
      <c r="B53" s="27" t="s">
        <v>41</v>
      </c>
      <c r="C53" s="69" t="n">
        <v>0.107352751496339</v>
      </c>
      <c r="J53" s="1" t="s">
        <v>100</v>
      </c>
      <c r="K53" s="14" t="n">
        <v>0.00116</v>
      </c>
    </row>
    <row r="54" customFormat="false" ht="15" hidden="false" customHeight="false" outlineLevel="0" collapsed="false">
      <c r="B54" s="27" t="s">
        <v>13</v>
      </c>
      <c r="C54" s="69" t="n">
        <v>0.0138239467080535</v>
      </c>
      <c r="J54" s="1" t="s">
        <v>101</v>
      </c>
      <c r="K54" s="2" t="n">
        <v>1</v>
      </c>
    </row>
    <row r="55" customFormat="false" ht="19.5" hidden="false" customHeight="false" outlineLevel="0" collapsed="false">
      <c r="B55" s="45" t="s">
        <v>23</v>
      </c>
      <c r="C55" s="73" t="n">
        <v>0.0138239467080535</v>
      </c>
      <c r="P55" s="6" t="s">
        <v>102</v>
      </c>
      <c r="Q55" s="6"/>
    </row>
    <row r="56" customFormat="false" ht="15" hidden="false" customHeight="false" outlineLevel="0" collapsed="false">
      <c r="C56" s="72"/>
      <c r="J56" s="1" t="s">
        <v>103</v>
      </c>
      <c r="K56" s="2" t="n">
        <v>0.13</v>
      </c>
    </row>
    <row r="57" customFormat="false" ht="16.5" hidden="false" customHeight="false" outlineLevel="0" collapsed="false">
      <c r="C57" s="72"/>
      <c r="J57" s="1" t="s">
        <v>104</v>
      </c>
      <c r="K57" s="2" t="n">
        <v>1</v>
      </c>
      <c r="M57" s="74"/>
      <c r="P57" s="75" t="s">
        <v>105</v>
      </c>
    </row>
    <row r="58" customFormat="false" ht="15.75" hidden="false" customHeight="false" outlineLevel="0" collapsed="false">
      <c r="B58" s="66" t="s">
        <v>106</v>
      </c>
      <c r="C58" s="66"/>
      <c r="P58" s="76" t="n">
        <f aca="false">Q42*K18</f>
        <v>607770423.794792</v>
      </c>
    </row>
    <row r="59" customFormat="false" ht="15" hidden="false" customHeight="false" outlineLevel="0" collapsed="false">
      <c r="B59" s="29" t="s">
        <v>43</v>
      </c>
      <c r="C59" s="67" t="n">
        <v>0.249990896203308</v>
      </c>
      <c r="J59" s="1" t="s">
        <v>107</v>
      </c>
      <c r="K59" s="14" t="n">
        <v>0.000622</v>
      </c>
    </row>
    <row r="60" customFormat="false" ht="15" hidden="false" customHeight="false" outlineLevel="0" collapsed="false">
      <c r="B60" s="27" t="s">
        <v>62</v>
      </c>
      <c r="C60" s="69" t="n">
        <v>0.249980101245401</v>
      </c>
      <c r="J60" s="1" t="s">
        <v>108</v>
      </c>
      <c r="K60" s="2" t="n">
        <v>37</v>
      </c>
    </row>
    <row r="61" customFormat="false" ht="15" hidden="false" customHeight="false" outlineLevel="0" collapsed="false">
      <c r="B61" s="27" t="s">
        <v>47</v>
      </c>
      <c r="C61" s="69" t="n">
        <v>0.237557294776143</v>
      </c>
      <c r="J61" s="1" t="s">
        <v>109</v>
      </c>
      <c r="K61" s="2" t="n">
        <v>4</v>
      </c>
    </row>
    <row r="62" customFormat="false" ht="15.75" hidden="false" customHeight="false" outlineLevel="0" collapsed="false">
      <c r="B62" s="27" t="s">
        <v>67</v>
      </c>
      <c r="C62" s="69" t="n">
        <v>0.237550015232821</v>
      </c>
      <c r="J62" s="1" t="s">
        <v>101</v>
      </c>
      <c r="K62" s="2" t="n">
        <v>1</v>
      </c>
      <c r="P62" s="5" t="s">
        <v>110</v>
      </c>
    </row>
    <row r="63" customFormat="false" ht="30" hidden="false" customHeight="false" outlineLevel="0" collapsed="false">
      <c r="B63" s="27" t="s">
        <v>41</v>
      </c>
      <c r="C63" s="69" t="n">
        <v>0.221814021621271</v>
      </c>
      <c r="P63" s="29" t="s">
        <v>111</v>
      </c>
      <c r="Q63" s="48" t="s">
        <v>112</v>
      </c>
      <c r="R63" s="16" t="s">
        <v>113</v>
      </c>
      <c r="S63" s="17" t="s">
        <v>114</v>
      </c>
      <c r="T63" s="49" t="s">
        <v>115</v>
      </c>
    </row>
    <row r="64" customFormat="false" ht="15" hidden="false" customHeight="false" outlineLevel="0" collapsed="false">
      <c r="B64" s="27" t="s">
        <v>28</v>
      </c>
      <c r="C64" s="69" t="n">
        <v>0.200005819778084</v>
      </c>
      <c r="P64" s="27" t="n">
        <f aca="false">$V$5</f>
        <v>0</v>
      </c>
      <c r="Q64" s="22" t="n">
        <f aca="false">$W$5</f>
        <v>2000000000000</v>
      </c>
      <c r="R64" s="22" t="n">
        <f aca="false">IF(ISNUMBER(Q64),($K$27*Q64),("N/A"))</f>
        <v>0.826</v>
      </c>
      <c r="S64" s="22"/>
      <c r="T64" s="25" t="n">
        <f aca="false">SUM(S65:S78)</f>
        <v>2517.648</v>
      </c>
    </row>
    <row r="65" customFormat="false" ht="15" hidden="false" customHeight="false" outlineLevel="0" collapsed="false">
      <c r="B65" s="27" t="s">
        <v>30</v>
      </c>
      <c r="C65" s="69" t="n">
        <v>0.200005819778084</v>
      </c>
      <c r="J65" s="77" t="s">
        <v>116</v>
      </c>
      <c r="P65" s="27" t="n">
        <f aca="false">$V$6</f>
        <v>24</v>
      </c>
      <c r="Q65" s="22" t="n">
        <f aca="false">$W$6</f>
        <v>4000000000000</v>
      </c>
      <c r="R65" s="22" t="n">
        <f aca="false">IF(ISNUMBER(Q65),($K$27*Q65),("N/A"))</f>
        <v>1.652</v>
      </c>
      <c r="S65" s="22" t="n">
        <f aca="false">IF(ISNUMBER(R64),R64*$K$26,("N/A"))</f>
        <v>19.824</v>
      </c>
      <c r="T65" s="25"/>
    </row>
    <row r="66" customFormat="false" ht="15" hidden="false" customHeight="false" outlineLevel="0" collapsed="false">
      <c r="B66" s="27" t="s">
        <v>61</v>
      </c>
      <c r="C66" s="69" t="n">
        <v>0.199997184174299</v>
      </c>
      <c r="J66" s="78" t="s">
        <v>117</v>
      </c>
      <c r="P66" s="27" t="n">
        <f aca="false">$V$7</f>
        <v>48</v>
      </c>
      <c r="Q66" s="22" t="n">
        <f aca="false">$W$7</f>
        <v>8000000000000</v>
      </c>
      <c r="R66" s="22" t="n">
        <f aca="false">IF(ISNUMBER(Q66),($K$27*Q66),("N/A"))</f>
        <v>3.304</v>
      </c>
      <c r="S66" s="22" t="n">
        <f aca="false">IF(ISNUMBER(R65),R65*$K$26,("N/A"))</f>
        <v>39.648</v>
      </c>
      <c r="T66" s="53"/>
    </row>
    <row r="67" customFormat="false" ht="15.75" hidden="false" customHeight="false" outlineLevel="0" collapsed="false">
      <c r="B67" s="27" t="s">
        <v>48</v>
      </c>
      <c r="C67" s="69" t="n">
        <v>0.0281695945855391</v>
      </c>
      <c r="J67" s="74" t="s">
        <v>118</v>
      </c>
      <c r="K67" s="2" t="n">
        <v>0.1</v>
      </c>
      <c r="P67" s="27" t="n">
        <f aca="false">$V$8</f>
        <v>72</v>
      </c>
      <c r="Q67" s="22" t="n">
        <f aca="false">$W$8</f>
        <v>16000000000000</v>
      </c>
      <c r="R67" s="22" t="n">
        <f aca="false">IF(ISNUMBER(Q67),($K$27*Q67),("N/A"))</f>
        <v>6.608</v>
      </c>
      <c r="S67" s="22" t="n">
        <f aca="false">IF(ISNUMBER(R66),R66*$K$26,("N/A"))</f>
        <v>79.296</v>
      </c>
      <c r="T67" s="53"/>
    </row>
    <row r="68" customFormat="false" ht="15.75" hidden="false" customHeight="false" outlineLevel="0" collapsed="false">
      <c r="B68" s="27" t="s">
        <v>25</v>
      </c>
      <c r="C68" s="69" t="n">
        <v>0.0281634371999987</v>
      </c>
      <c r="J68" s="74" t="s">
        <v>119</v>
      </c>
      <c r="K68" s="2" t="n">
        <v>1</v>
      </c>
      <c r="P68" s="27" t="n">
        <f aca="false">$V$9</f>
        <v>96</v>
      </c>
      <c r="Q68" s="22" t="n">
        <f aca="false">$W$9</f>
        <v>32000000000000</v>
      </c>
      <c r="R68" s="22" t="n">
        <f aca="false">IF(ISNUMBER(Q68),($K$27*Q68),("N/A"))</f>
        <v>13.216</v>
      </c>
      <c r="S68" s="22" t="n">
        <f aca="false">IF(ISNUMBER(R67),R67*$K$26,("N/A"))</f>
        <v>158.592</v>
      </c>
      <c r="T68" s="53"/>
    </row>
    <row r="69" customFormat="false" ht="15.75" hidden="false" customHeight="false" outlineLevel="0" collapsed="false">
      <c r="B69" s="27" t="s">
        <v>27</v>
      </c>
      <c r="C69" s="69" t="n">
        <v>0.0281634371999987</v>
      </c>
      <c r="J69" s="74" t="s">
        <v>120</v>
      </c>
      <c r="K69" s="2" t="n">
        <v>0.2</v>
      </c>
      <c r="P69" s="27" t="n">
        <f aca="false">$V$10</f>
        <v>120</v>
      </c>
      <c r="Q69" s="22" t="n">
        <f aca="false">$W$10</f>
        <v>64000000000000</v>
      </c>
      <c r="R69" s="22" t="n">
        <f aca="false">IF(ISNUMBER(Q69),($K$27*Q69),("N/A"))</f>
        <v>26.432</v>
      </c>
      <c r="S69" s="22" t="n">
        <f aca="false">IF(ISNUMBER(R68),R68*$K$26,("N/A"))</f>
        <v>317.184</v>
      </c>
      <c r="T69" s="53"/>
    </row>
    <row r="70" customFormat="false" ht="15.75" hidden="false" customHeight="false" outlineLevel="0" collapsed="false">
      <c r="B70" s="27" t="s">
        <v>31</v>
      </c>
      <c r="C70" s="69" t="n">
        <v>0.0225520085920447</v>
      </c>
      <c r="J70" s="74" t="s">
        <v>121</v>
      </c>
      <c r="K70" s="2" t="n">
        <v>0.5</v>
      </c>
      <c r="P70" s="27" t="n">
        <f aca="false">$V$11</f>
        <v>144</v>
      </c>
      <c r="Q70" s="22" t="n">
        <f aca="false">$W$11</f>
        <v>128000000000000</v>
      </c>
      <c r="R70" s="22" t="n">
        <f aca="false">IF(ISNUMBER(Q70),($K$27*Q70),("N/A"))</f>
        <v>52.864</v>
      </c>
      <c r="S70" s="22" t="n">
        <f aca="false">IF(ISNUMBER(R69),R69*$K$26,("N/A"))</f>
        <v>634.368</v>
      </c>
      <c r="T70" s="53"/>
    </row>
    <row r="71" customFormat="false" ht="16.5" hidden="false" customHeight="false" outlineLevel="0" collapsed="false">
      <c r="B71" s="45" t="s">
        <v>33</v>
      </c>
      <c r="C71" s="73" t="n">
        <v>0.0225520085920447</v>
      </c>
      <c r="J71" s="74" t="s">
        <v>122</v>
      </c>
      <c r="K71" s="2" t="n">
        <v>1</v>
      </c>
      <c r="P71" s="27" t="n">
        <f aca="false">$V$12</f>
        <v>159.452548554593</v>
      </c>
      <c r="Q71" s="22" t="str">
        <f aca="false">$W$12</f>
        <v>N/A</v>
      </c>
      <c r="R71" s="22" t="str">
        <f aca="false">IF(ISNUMBER(Q71),($K$27*Q71),("N/A"))</f>
        <v>N/A</v>
      </c>
      <c r="S71" s="22" t="n">
        <f aca="false">IF(ISNUMBER(R70),R70*$K$26,("N/A"))</f>
        <v>1268.736</v>
      </c>
      <c r="T71" s="53"/>
    </row>
    <row r="72" customFormat="false" ht="15.75" hidden="false" customHeight="false" outlineLevel="0" collapsed="false">
      <c r="J72" s="74"/>
      <c r="P72" s="27" t="n">
        <f aca="false">$V$13</f>
        <v>159.452548554593</v>
      </c>
      <c r="Q72" s="22" t="str">
        <f aca="false">$W$13</f>
        <v>N/A</v>
      </c>
      <c r="R72" s="22" t="str">
        <f aca="false">IF(ISNUMBER(Q72),($K$27*Q72),("N/A"))</f>
        <v>N/A</v>
      </c>
      <c r="S72" s="22" t="str">
        <f aca="false">IF(ISNUMBER(R71),R71*$K$26,("N/A"))</f>
        <v>N/A</v>
      </c>
      <c r="T72" s="53"/>
    </row>
    <row r="73" customFormat="false" ht="15.75" hidden="false" customHeight="false" outlineLevel="0" collapsed="false">
      <c r="J73" s="74"/>
      <c r="P73" s="27" t="n">
        <f aca="false">$V$14</f>
        <v>159.452548554593</v>
      </c>
      <c r="Q73" s="22" t="str">
        <f aca="false">$W$14</f>
        <v>N/A</v>
      </c>
      <c r="R73" s="22" t="str">
        <f aca="false">IF(ISNUMBER(Q73),($K$27*Q73),("N/A"))</f>
        <v>N/A</v>
      </c>
      <c r="S73" s="22" t="str">
        <f aca="false">IF(ISNUMBER(R72),R72*$K$26,("N/A"))</f>
        <v>N/A</v>
      </c>
      <c r="T73" s="53"/>
    </row>
    <row r="74" customFormat="false" ht="15.75" hidden="false" customHeight="false" outlineLevel="0" collapsed="false">
      <c r="J74" s="74"/>
      <c r="P74" s="27" t="n">
        <f aca="false">$V$15</f>
        <v>159.452548554593</v>
      </c>
      <c r="Q74" s="22" t="str">
        <f aca="false">$W$15</f>
        <v>N/A</v>
      </c>
      <c r="R74" s="22" t="str">
        <f aca="false">IF(ISNUMBER(Q74),($K$27*Q74),("N/A"))</f>
        <v>N/A</v>
      </c>
      <c r="S74" s="22" t="str">
        <f aca="false">IF(ISNUMBER(R73),R73*$K$26,("N/A"))</f>
        <v>N/A</v>
      </c>
      <c r="T74" s="53"/>
    </row>
    <row r="75" customFormat="false" ht="15.75" hidden="false" customHeight="false" outlineLevel="0" collapsed="false">
      <c r="J75" s="74"/>
      <c r="P75" s="27" t="n">
        <f aca="false">$V$16</f>
        <v>159.452548554593</v>
      </c>
      <c r="Q75" s="22" t="str">
        <f aca="false">$W$16</f>
        <v>N/A</v>
      </c>
      <c r="R75" s="22" t="str">
        <f aca="false">IF(ISNUMBER(Q75),($K$27*Q75),("N/A"))</f>
        <v>N/A</v>
      </c>
      <c r="S75" s="22" t="str">
        <f aca="false">IF(ISNUMBER(R74),R74*$K$26,("N/A"))</f>
        <v>N/A</v>
      </c>
      <c r="T75" s="53"/>
    </row>
    <row r="76" customFormat="false" ht="15.75" hidden="false" customHeight="false" outlineLevel="0" collapsed="false">
      <c r="J76" s="74"/>
      <c r="P76" s="27" t="n">
        <f aca="false">$V$17</f>
        <v>159.452548554593</v>
      </c>
      <c r="Q76" s="22" t="str">
        <f aca="false">$W$17</f>
        <v>N/A</v>
      </c>
      <c r="R76" s="22" t="str">
        <f aca="false">IF(ISNUMBER(Q76),($K$27*Q76),("N/A"))</f>
        <v>N/A</v>
      </c>
      <c r="S76" s="22" t="str">
        <f aca="false">IF(ISNUMBER(R75),R75*$K$26,("N/A"))</f>
        <v>N/A</v>
      </c>
      <c r="T76" s="53"/>
    </row>
    <row r="77" customFormat="false" ht="15.75" hidden="false" customHeight="false" outlineLevel="0" collapsed="false">
      <c r="J77" s="74"/>
      <c r="P77" s="27" t="n">
        <f aca="false">$V$18</f>
        <v>159.452548554593</v>
      </c>
      <c r="Q77" s="22" t="str">
        <f aca="false">$W$18</f>
        <v>N/A</v>
      </c>
      <c r="R77" s="22" t="str">
        <f aca="false">IF(ISNUMBER(Q77),($K$27*Q77),("N/A"))</f>
        <v>N/A</v>
      </c>
      <c r="S77" s="22" t="str">
        <f aca="false">IF(ISNUMBER(R76),R76*$K$26,("N/A"))</f>
        <v>N/A</v>
      </c>
      <c r="T77" s="53"/>
    </row>
    <row r="78" customFormat="false" ht="15.75" hidden="false" customHeight="false" outlineLevel="0" collapsed="false">
      <c r="J78" s="74" t="s">
        <v>123</v>
      </c>
      <c r="K78" s="2" t="n">
        <v>1</v>
      </c>
      <c r="P78" s="27" t="n">
        <f aca="false">$V$19</f>
        <v>159.452548554593</v>
      </c>
      <c r="Q78" s="22" t="str">
        <f aca="false">$W$19</f>
        <v>N/A</v>
      </c>
      <c r="R78" s="22" t="str">
        <f aca="false">IF(ISNUMBER(Q78),($K$27*Q78),("N/A"))</f>
        <v>N/A</v>
      </c>
      <c r="S78" s="22" t="str">
        <f aca="false">IF(ISNUMBER(R77),R77*$K$26,("N/A"))</f>
        <v>N/A</v>
      </c>
      <c r="T78" s="53"/>
    </row>
    <row r="79" customFormat="false" ht="30" hidden="false" customHeight="false" outlineLevel="0" collapsed="false">
      <c r="J79" s="74" t="s">
        <v>124</v>
      </c>
      <c r="K79" s="2" t="n">
        <v>1</v>
      </c>
      <c r="P79" s="54" t="s">
        <v>125</v>
      </c>
      <c r="Q79" s="59" t="s">
        <v>126</v>
      </c>
      <c r="R79" s="59" t="s">
        <v>127</v>
      </c>
      <c r="S79" s="81" t="s">
        <v>128</v>
      </c>
      <c r="T79" s="82" t="s">
        <v>129</v>
      </c>
    </row>
    <row r="80" customFormat="false" ht="15.75" hidden="false" customHeight="false" outlineLevel="0" collapsed="false">
      <c r="J80" s="74" t="s">
        <v>130</v>
      </c>
      <c r="K80" s="2" t="n">
        <v>0.1</v>
      </c>
      <c r="P80" s="21" t="n">
        <f aca="false">(U5*K27)*K14</f>
        <v>19824</v>
      </c>
      <c r="Q80" s="22" t="n">
        <f aca="false">T64+P80</f>
        <v>22341.648</v>
      </c>
      <c r="R80" s="28" t="n">
        <f aca="false">K39*K9</f>
        <v>356</v>
      </c>
      <c r="S80" s="51" t="n">
        <f aca="false">Q80/R80</f>
        <v>62.7574382022472</v>
      </c>
      <c r="T80" s="83" t="n">
        <f aca="false">S80*K9</f>
        <v>1255148.76404494</v>
      </c>
    </row>
    <row r="81" customFormat="false" ht="15" hidden="false" customHeight="false" outlineLevel="0" collapsed="false">
      <c r="P81" s="27"/>
      <c r="Q81" s="24"/>
      <c r="R81" s="24"/>
      <c r="S81" s="22"/>
      <c r="T81" s="25" t="n">
        <f aca="false">Q80*180.156/3.2</f>
        <v>1257806.85534</v>
      </c>
    </row>
    <row r="82" customFormat="false" ht="15.75" hidden="false" customHeight="false" outlineLevel="0" collapsed="false">
      <c r="J82" s="74" t="s">
        <v>131</v>
      </c>
      <c r="P82" s="27" t="s">
        <v>132</v>
      </c>
      <c r="Q82" s="24"/>
      <c r="R82" s="24"/>
      <c r="S82" s="22"/>
      <c r="T82" s="53"/>
    </row>
    <row r="83" customFormat="false" ht="15.75" hidden="false" customHeight="false" outlineLevel="0" collapsed="false">
      <c r="J83" s="74" t="s">
        <v>133</v>
      </c>
      <c r="K83" s="2" t="n">
        <v>1</v>
      </c>
      <c r="P83" s="84" t="n">
        <f aca="false">(K32*N12)+(K33*N13)+(K34*N14)+(K35*N15)+(K36*N16)+(K37*N17)+(K38*N18)+(N11)</f>
        <v>421.9751914</v>
      </c>
      <c r="Q83" s="2"/>
      <c r="R83" s="24"/>
      <c r="S83" s="22"/>
      <c r="T83" s="53"/>
    </row>
    <row r="84" customFormat="false" ht="15.75" hidden="false" customHeight="false" outlineLevel="0" collapsed="false">
      <c r="J84" s="74" t="s">
        <v>134</v>
      </c>
      <c r="K84" s="2" t="n">
        <v>1.2</v>
      </c>
      <c r="P84" s="27"/>
      <c r="Q84" s="24"/>
      <c r="R84" s="24"/>
      <c r="S84" s="22"/>
      <c r="T84" s="53"/>
    </row>
    <row r="85" customFormat="false" ht="15.75" hidden="false" customHeight="false" outlineLevel="0" collapsed="false">
      <c r="J85" s="74" t="s">
        <v>135</v>
      </c>
      <c r="K85" s="2" t="n">
        <v>0.8</v>
      </c>
      <c r="P85" s="27" t="s">
        <v>136</v>
      </c>
      <c r="Q85" s="24"/>
      <c r="R85" s="24"/>
      <c r="S85" s="22"/>
      <c r="T85" s="53"/>
    </row>
    <row r="86" customFormat="false" ht="15.75" hidden="false" customHeight="false" outlineLevel="0" collapsed="false">
      <c r="J86" s="74" t="s">
        <v>137</v>
      </c>
      <c r="K86" s="2" t="n">
        <v>1.5</v>
      </c>
      <c r="P86" s="85" t="n">
        <f aca="false">T80*Q31</f>
        <v>143276415518.338</v>
      </c>
      <c r="Q86" s="24"/>
      <c r="R86" s="24"/>
      <c r="S86" s="22"/>
      <c r="T86" s="53"/>
    </row>
    <row r="87" customFormat="false" ht="15.75" hidden="false" customHeight="false" outlineLevel="0" collapsed="false">
      <c r="B87" s="86"/>
      <c r="J87" s="74" t="s">
        <v>138</v>
      </c>
      <c r="K87" s="2" t="n">
        <v>1.4</v>
      </c>
      <c r="P87" s="27" t="s">
        <v>139</v>
      </c>
      <c r="Q87" s="24"/>
      <c r="R87" s="24"/>
      <c r="S87" s="22"/>
      <c r="T87" s="53"/>
    </row>
    <row r="88" customFormat="false" ht="16.5" hidden="false" customHeight="false" outlineLevel="0" collapsed="false">
      <c r="J88" s="74" t="s">
        <v>140</v>
      </c>
      <c r="K88" s="2" t="n">
        <v>1.25</v>
      </c>
      <c r="P88" s="87" t="n">
        <f aca="false">P86*P83</f>
        <v>60459092861456.6</v>
      </c>
      <c r="Q88" s="43"/>
      <c r="R88" s="43"/>
      <c r="S88" s="42"/>
      <c r="T88" s="57"/>
    </row>
    <row r="90" customFormat="false" ht="16.5" hidden="false" customHeight="false" outlineLevel="0" collapsed="false">
      <c r="J90" s="88" t="s">
        <v>141</v>
      </c>
      <c r="P90" s="5" t="s">
        <v>142</v>
      </c>
    </row>
    <row r="91" customFormat="false" ht="30" hidden="false" customHeight="false" outlineLevel="0" collapsed="false">
      <c r="J91" s="74" t="s">
        <v>118</v>
      </c>
      <c r="K91" s="2" t="n">
        <v>0</v>
      </c>
      <c r="P91" s="15" t="s">
        <v>143</v>
      </c>
      <c r="Q91" s="16" t="s">
        <v>112</v>
      </c>
      <c r="R91" s="16" t="s">
        <v>144</v>
      </c>
      <c r="S91" s="17" t="s">
        <v>145</v>
      </c>
      <c r="T91" s="49" t="s">
        <v>146</v>
      </c>
    </row>
    <row r="92" customFormat="false" ht="15.75" hidden="false" customHeight="false" outlineLevel="0" collapsed="false">
      <c r="J92" s="74" t="s">
        <v>119</v>
      </c>
      <c r="K92" s="2" t="n">
        <v>0</v>
      </c>
      <c r="P92" s="27" t="n">
        <f aca="false">$V$5</f>
        <v>0</v>
      </c>
      <c r="Q92" s="22" t="n">
        <f aca="false">$W$5</f>
        <v>2000000000000</v>
      </c>
      <c r="R92" s="22" t="n">
        <f aca="false">IF(ISNUMBER(Q92),($K$28*Q92),("N/A"))</f>
        <v>0.036</v>
      </c>
      <c r="S92" s="22"/>
      <c r="T92" s="25" t="n">
        <f aca="false">SUM(S93:S106)</f>
        <v>109.728</v>
      </c>
    </row>
    <row r="93" customFormat="false" ht="15.75" hidden="false" customHeight="false" outlineLevel="0" collapsed="false">
      <c r="J93" s="74" t="s">
        <v>120</v>
      </c>
      <c r="K93" s="2" t="n">
        <v>0</v>
      </c>
      <c r="P93" s="27" t="n">
        <f aca="false">$V$6</f>
        <v>24</v>
      </c>
      <c r="Q93" s="22" t="n">
        <f aca="false">$W$6</f>
        <v>4000000000000</v>
      </c>
      <c r="R93" s="22" t="n">
        <f aca="false">IF(ISNUMBER(Q93),($K$28*Q93),("N/A"))</f>
        <v>0.072</v>
      </c>
      <c r="S93" s="22" t="n">
        <f aca="false">IF(ISNUMBER(R92),R92*$K$26,("N/A"))</f>
        <v>0.864</v>
      </c>
      <c r="T93" s="53"/>
    </row>
    <row r="94" customFormat="false" ht="15.75" hidden="false" customHeight="false" outlineLevel="0" collapsed="false">
      <c r="B94" s="86"/>
      <c r="J94" s="74" t="s">
        <v>121</v>
      </c>
      <c r="K94" s="2" t="n">
        <v>0</v>
      </c>
      <c r="P94" s="27" t="n">
        <f aca="false">$V$7</f>
        <v>48</v>
      </c>
      <c r="Q94" s="22" t="n">
        <f aca="false">$W$7</f>
        <v>8000000000000</v>
      </c>
      <c r="R94" s="22" t="n">
        <f aca="false">IF(ISNUMBER(Q94),($K$28*Q94),("N/A"))</f>
        <v>0.144</v>
      </c>
      <c r="S94" s="22" t="n">
        <f aca="false">IF(ISNUMBER(R93),R93*$K$26,("N/A"))</f>
        <v>1.728</v>
      </c>
      <c r="T94" s="53"/>
    </row>
    <row r="95" customFormat="false" ht="15.75" hidden="false" customHeight="false" outlineLevel="0" collapsed="false">
      <c r="B95" s="86"/>
      <c r="J95" s="74" t="s">
        <v>122</v>
      </c>
      <c r="K95" s="2" t="n">
        <v>0</v>
      </c>
      <c r="P95" s="27" t="n">
        <f aca="false">$V$8</f>
        <v>72</v>
      </c>
      <c r="Q95" s="22" t="n">
        <f aca="false">$W$8</f>
        <v>16000000000000</v>
      </c>
      <c r="R95" s="22" t="n">
        <f aca="false">IF(ISNUMBER(Q95),($K$28*Q95),("N/A"))</f>
        <v>0.288</v>
      </c>
      <c r="S95" s="22" t="n">
        <f aca="false">IF(ISNUMBER(R94),R94*$K$26,("N/A"))</f>
        <v>3.456</v>
      </c>
      <c r="T95" s="53"/>
    </row>
    <row r="96" customFormat="false" ht="15.75" hidden="false" customHeight="false" outlineLevel="0" collapsed="false">
      <c r="J96" s="74" t="s">
        <v>123</v>
      </c>
      <c r="K96" s="2" t="n">
        <v>0</v>
      </c>
      <c r="P96" s="27" t="n">
        <f aca="false">$V$9</f>
        <v>96</v>
      </c>
      <c r="Q96" s="22" t="n">
        <f aca="false">$W$9</f>
        <v>32000000000000</v>
      </c>
      <c r="R96" s="22" t="n">
        <f aca="false">IF(ISNUMBER(Q96),($K$28*Q96),("N/A"))</f>
        <v>0.576</v>
      </c>
      <c r="S96" s="22" t="n">
        <f aca="false">IF(ISNUMBER(R95),R95*$K$26,("N/A"))</f>
        <v>6.912</v>
      </c>
      <c r="T96" s="53"/>
    </row>
    <row r="97" customFormat="false" ht="15.75" hidden="false" customHeight="false" outlineLevel="0" collapsed="false">
      <c r="J97" s="74" t="s">
        <v>124</v>
      </c>
      <c r="K97" s="2" t="s">
        <v>147</v>
      </c>
      <c r="P97" s="27" t="n">
        <f aca="false">$V$10</f>
        <v>120</v>
      </c>
      <c r="Q97" s="22" t="n">
        <f aca="false">$W$10</f>
        <v>64000000000000</v>
      </c>
      <c r="R97" s="22" t="n">
        <f aca="false">IF(ISNUMBER(Q97),($K$28*Q97),("N/A"))</f>
        <v>1.152</v>
      </c>
      <c r="S97" s="22" t="n">
        <f aca="false">IF(ISNUMBER(R96),R96*$K$26,("N/A"))</f>
        <v>13.824</v>
      </c>
      <c r="T97" s="53"/>
    </row>
    <row r="98" customFormat="false" ht="15.75" hidden="false" customHeight="false" outlineLevel="0" collapsed="false">
      <c r="J98" s="74" t="s">
        <v>130</v>
      </c>
      <c r="K98" s="2" t="n">
        <v>0</v>
      </c>
      <c r="P98" s="27" t="n">
        <f aca="false">$V$11</f>
        <v>144</v>
      </c>
      <c r="Q98" s="22" t="n">
        <f aca="false">$W$11</f>
        <v>128000000000000</v>
      </c>
      <c r="R98" s="22" t="n">
        <f aca="false">IF(ISNUMBER(Q98),($K$28*Q98),("N/A"))</f>
        <v>2.304</v>
      </c>
      <c r="S98" s="22" t="n">
        <f aca="false">IF(ISNUMBER(R97),R97*$K$26,("N/A"))</f>
        <v>27.648</v>
      </c>
      <c r="T98" s="53"/>
    </row>
    <row r="99" customFormat="false" ht="15" hidden="false" customHeight="false" outlineLevel="0" collapsed="false">
      <c r="P99" s="27" t="n">
        <f aca="false">$V$12</f>
        <v>159.452548554593</v>
      </c>
      <c r="Q99" s="22" t="str">
        <f aca="false">$W$12</f>
        <v>N/A</v>
      </c>
      <c r="R99" s="22" t="str">
        <f aca="false">IF(ISNUMBER(Q99),($K$28*Q99),("N/A"))</f>
        <v>N/A</v>
      </c>
      <c r="S99" s="22" t="n">
        <f aca="false">IF(ISNUMBER(R98),R98*$K$26,("N/A"))</f>
        <v>55.296</v>
      </c>
      <c r="T99" s="53"/>
    </row>
    <row r="100" customFormat="false" ht="15.75" hidden="false" customHeight="false" outlineLevel="0" collapsed="false">
      <c r="J100" s="88" t="s">
        <v>148</v>
      </c>
      <c r="P100" s="27" t="n">
        <f aca="false">$V$13</f>
        <v>159.452548554593</v>
      </c>
      <c r="Q100" s="22" t="str">
        <f aca="false">$W$13</f>
        <v>N/A</v>
      </c>
      <c r="R100" s="22" t="str">
        <f aca="false">IF(ISNUMBER(Q100),($K$28*Q100),("N/A"))</f>
        <v>N/A</v>
      </c>
      <c r="S100" s="22" t="str">
        <f aca="false">IF(ISNUMBER(R99),R99*$K$26,("N/A"))</f>
        <v>N/A</v>
      </c>
      <c r="T100" s="53"/>
    </row>
    <row r="101" customFormat="false" ht="15" hidden="false" customHeight="false" outlineLevel="0" collapsed="false">
      <c r="P101" s="27" t="n">
        <f aca="false">$V$14</f>
        <v>159.452548554593</v>
      </c>
      <c r="Q101" s="22" t="str">
        <f aca="false">$W$14</f>
        <v>N/A</v>
      </c>
      <c r="R101" s="22" t="str">
        <f aca="false">IF(ISNUMBER(Q101),($K$28*Q101),("N/A"))</f>
        <v>N/A</v>
      </c>
      <c r="S101" s="22" t="str">
        <f aca="false">IF(ISNUMBER(R100),R100*$K$26,("N/A"))</f>
        <v>N/A</v>
      </c>
      <c r="T101" s="53"/>
    </row>
    <row r="102" customFormat="false" ht="15" hidden="false" customHeight="false" outlineLevel="0" collapsed="false">
      <c r="J102" s="1" t="s">
        <v>149</v>
      </c>
      <c r="K102" s="72" t="n">
        <v>0.9</v>
      </c>
      <c r="P102" s="27" t="n">
        <f aca="false">$V$15</f>
        <v>159.452548554593</v>
      </c>
      <c r="Q102" s="22" t="str">
        <f aca="false">$W$15</f>
        <v>N/A</v>
      </c>
      <c r="R102" s="22" t="str">
        <f aca="false">IF(ISNUMBER(Q102),($K$28*Q102),("N/A"))</f>
        <v>N/A</v>
      </c>
      <c r="S102" s="22" t="str">
        <f aca="false">IF(ISNUMBER(R101),R101*$K$26,("N/A"))</f>
        <v>N/A</v>
      </c>
      <c r="T102" s="53"/>
    </row>
    <row r="103" customFormat="false" ht="15" hidden="false" customHeight="false" outlineLevel="0" collapsed="false">
      <c r="J103" s="1" t="s">
        <v>150</v>
      </c>
      <c r="K103" s="72" t="n">
        <v>0.05</v>
      </c>
      <c r="P103" s="27" t="n">
        <f aca="false">$V$16</f>
        <v>159.452548554593</v>
      </c>
      <c r="Q103" s="22" t="str">
        <f aca="false">$W$16</f>
        <v>N/A</v>
      </c>
      <c r="R103" s="22" t="str">
        <f aca="false">IF(ISNUMBER(Q103),($K$28*Q103),("N/A"))</f>
        <v>N/A</v>
      </c>
      <c r="S103" s="22" t="str">
        <f aca="false">IF(ISNUMBER(R102),R102*$K$26,("N/A"))</f>
        <v>N/A</v>
      </c>
      <c r="T103" s="53"/>
    </row>
    <row r="104" customFormat="false" ht="15" hidden="false" customHeight="false" outlineLevel="0" collapsed="false">
      <c r="J104" s="1" t="s">
        <v>151</v>
      </c>
      <c r="K104" s="2" t="n">
        <v>20</v>
      </c>
      <c r="P104" s="27" t="n">
        <f aca="false">$V$17</f>
        <v>159.452548554593</v>
      </c>
      <c r="Q104" s="22" t="str">
        <f aca="false">$W$17</f>
        <v>N/A</v>
      </c>
      <c r="R104" s="22" t="str">
        <f aca="false">IF(ISNUMBER(Q104),($K$28*Q104),("N/A"))</f>
        <v>N/A</v>
      </c>
      <c r="S104" s="22" t="str">
        <f aca="false">IF(ISNUMBER(R103),R103*$K$26,("N/A"))</f>
        <v>N/A</v>
      </c>
      <c r="T104" s="53"/>
    </row>
    <row r="105" customFormat="false" ht="15" hidden="false" customHeight="false" outlineLevel="0" collapsed="false">
      <c r="J105" s="1" t="s">
        <v>188</v>
      </c>
      <c r="K105" s="72" t="n">
        <v>0.15</v>
      </c>
      <c r="P105" s="27" t="n">
        <f aca="false">$V$18</f>
        <v>159.452548554593</v>
      </c>
      <c r="Q105" s="22" t="str">
        <f aca="false">$W$18</f>
        <v>N/A</v>
      </c>
      <c r="R105" s="22" t="str">
        <f aca="false">IF(ISNUMBER(Q105),($K$28*Q105),("N/A"))</f>
        <v>N/A</v>
      </c>
      <c r="S105" s="22" t="str">
        <f aca="false">IF(ISNUMBER(R104),R104*$K$26,("N/A"))</f>
        <v>N/A</v>
      </c>
      <c r="T105" s="53"/>
    </row>
    <row r="106" customFormat="false" ht="15" hidden="false" customHeight="false" outlineLevel="0" collapsed="false">
      <c r="P106" s="27" t="n">
        <f aca="false">$V$19</f>
        <v>159.452548554593</v>
      </c>
      <c r="Q106" s="22" t="str">
        <f aca="false">$W$19</f>
        <v>N/A</v>
      </c>
      <c r="R106" s="22" t="str">
        <f aca="false">IF(ISNUMBER(Q106),($K$28*Q106),("N/A"))</f>
        <v>N/A</v>
      </c>
      <c r="S106" s="22" t="str">
        <f aca="false">IF(ISNUMBER(R105),R105*$K$26,("N/A"))</f>
        <v>N/A</v>
      </c>
      <c r="T106" s="53"/>
    </row>
    <row r="107" customFormat="false" ht="30" hidden="false" customHeight="false" outlineLevel="0" collapsed="false">
      <c r="P107" s="89" t="s">
        <v>153</v>
      </c>
      <c r="Q107" s="90" t="s">
        <v>154</v>
      </c>
      <c r="R107" s="91" t="s">
        <v>155</v>
      </c>
      <c r="S107" s="81"/>
      <c r="T107" s="82"/>
    </row>
    <row r="108" customFormat="false" ht="15" hidden="false" customHeight="false" outlineLevel="0" collapsed="false">
      <c r="P108" s="21" t="n">
        <f aca="false">U5*K28*K14</f>
        <v>864</v>
      </c>
      <c r="Q108" s="22" t="n">
        <f aca="false">T80*K40*K41/K42</f>
        <v>784467.97752809</v>
      </c>
      <c r="R108" s="22" t="n">
        <f aca="false">P108+T92+Q108</f>
        <v>785441.70552809</v>
      </c>
      <c r="S108" s="22"/>
      <c r="T108" s="53"/>
    </row>
    <row r="109" customFormat="false" ht="15" hidden="false" customHeight="false" outlineLevel="0" collapsed="false">
      <c r="P109" s="27"/>
      <c r="Q109" s="24"/>
      <c r="R109" s="24"/>
      <c r="S109" s="22"/>
      <c r="T109" s="53"/>
    </row>
    <row r="110" customFormat="false" ht="15" hidden="false" customHeight="false" outlineLevel="0" collapsed="false">
      <c r="P110" s="27"/>
      <c r="Q110" s="24"/>
      <c r="R110" s="24"/>
      <c r="S110" s="22"/>
      <c r="T110" s="53"/>
    </row>
    <row r="111" customFormat="false" ht="15" hidden="false" customHeight="false" outlineLevel="0" collapsed="false">
      <c r="P111" s="27"/>
      <c r="Q111" s="24"/>
      <c r="R111" s="24"/>
      <c r="S111" s="22"/>
      <c r="T111" s="53"/>
    </row>
    <row r="112" customFormat="false" ht="30" hidden="false" customHeight="false" outlineLevel="0" collapsed="false">
      <c r="P112" s="54" t="s">
        <v>156</v>
      </c>
      <c r="Q112" s="28"/>
      <c r="R112" s="24"/>
      <c r="S112" s="22"/>
      <c r="T112" s="53"/>
    </row>
    <row r="113" customFormat="false" ht="15" hidden="false" customHeight="false" outlineLevel="0" collapsed="false">
      <c r="P113" s="79" t="n">
        <f aca="false">(R108*Q31*K42)/1000</f>
        <v>2869085.17340072</v>
      </c>
      <c r="Q113" s="24"/>
      <c r="R113" s="24"/>
      <c r="S113" s="22"/>
      <c r="T113" s="53"/>
    </row>
    <row r="114" customFormat="false" ht="15" hidden="false" customHeight="false" outlineLevel="0" collapsed="false">
      <c r="P114" s="27" t="s">
        <v>157</v>
      </c>
      <c r="Q114" s="24"/>
      <c r="R114" s="24"/>
      <c r="S114" s="22"/>
      <c r="T114" s="53"/>
    </row>
    <row r="115" customFormat="false" ht="15.75" hidden="false" customHeight="false" outlineLevel="0" collapsed="false">
      <c r="P115" s="87" t="n">
        <f aca="false">P113*N25</f>
        <v>114763406.936029</v>
      </c>
      <c r="Q115" s="43"/>
      <c r="R115" s="43"/>
      <c r="S115" s="42"/>
      <c r="T115" s="57"/>
    </row>
    <row r="118" customFormat="false" ht="15.75" hidden="false" customHeight="false" outlineLevel="0" collapsed="false">
      <c r="P118" s="5" t="s">
        <v>158</v>
      </c>
    </row>
    <row r="119" customFormat="false" ht="30" hidden="false" customHeight="false" outlineLevel="0" collapsed="false">
      <c r="P119" s="15" t="s">
        <v>159</v>
      </c>
      <c r="Q119" s="49" t="s">
        <v>160</v>
      </c>
    </row>
    <row r="120" customFormat="false" ht="15" hidden="false" customHeight="false" outlineLevel="0" collapsed="false">
      <c r="P120" s="92" t="n">
        <f aca="false">(0.09*N28+6.78)/100</f>
        <v>0.071553</v>
      </c>
      <c r="Q120" s="63" t="n">
        <f aca="false">(N29/K44)/100</f>
        <v>0.0167058823529412</v>
      </c>
    </row>
    <row r="121" customFormat="false" ht="15" hidden="false" customHeight="false" outlineLevel="0" collapsed="false">
      <c r="P121" s="27"/>
      <c r="Q121" s="53"/>
    </row>
    <row r="122" customFormat="false" ht="15" hidden="false" customHeight="false" outlineLevel="0" collapsed="false">
      <c r="P122" s="27"/>
      <c r="Q122" s="53"/>
    </row>
    <row r="123" customFormat="false" ht="15" hidden="false" customHeight="false" outlineLevel="0" collapsed="false">
      <c r="P123" s="27" t="s">
        <v>161</v>
      </c>
      <c r="Q123" s="53"/>
    </row>
    <row r="124" customFormat="false" ht="15.75" hidden="false" customHeight="false" outlineLevel="0" collapsed="false">
      <c r="P124" s="87" t="n">
        <f aca="false">(P120*K46) + (Q120*K45)</f>
        <v>0.0441294411764706</v>
      </c>
      <c r="Q124" s="57"/>
    </row>
    <row r="127" customFormat="false" ht="15.75" hidden="false" customHeight="false" outlineLevel="0" collapsed="false">
      <c r="P127" s="5" t="s">
        <v>162</v>
      </c>
    </row>
    <row r="128" customFormat="false" ht="30" hidden="false" customHeight="false" outlineLevel="0" collapsed="false">
      <c r="P128" s="15" t="s">
        <v>163</v>
      </c>
      <c r="Q128" s="16" t="s">
        <v>164</v>
      </c>
      <c r="R128" s="49" t="s">
        <v>165</v>
      </c>
    </row>
    <row r="129" customFormat="false" ht="15.75" hidden="false" customHeight="false" outlineLevel="0" collapsed="false">
      <c r="A129" s="74"/>
      <c r="P129" s="85" t="n">
        <f aca="false">((P86*K40)*(K52-K51)*K53)/K54</f>
        <v>2825410914.02162</v>
      </c>
      <c r="Q129" s="28" t="n">
        <f aca="false">(R108*Q31*K56)/K57</f>
        <v>11655658516.9404</v>
      </c>
      <c r="R129" s="93" t="n">
        <f aca="false">K11*(K60-K61)*K59/K62</f>
        <v>2483646</v>
      </c>
    </row>
    <row r="130" customFormat="false" ht="15" hidden="false" customHeight="false" outlineLevel="0" collapsed="false">
      <c r="P130" s="27"/>
      <c r="Q130" s="24"/>
      <c r="R130" s="53"/>
    </row>
    <row r="131" customFormat="false" ht="15" hidden="false" customHeight="false" outlineLevel="0" collapsed="false">
      <c r="P131" s="27"/>
      <c r="Q131" s="24"/>
      <c r="R131" s="53"/>
    </row>
    <row r="132" customFormat="false" ht="15" hidden="false" customHeight="false" outlineLevel="0" collapsed="false">
      <c r="P132" s="27" t="s">
        <v>166</v>
      </c>
      <c r="Q132" s="24"/>
      <c r="R132" s="53"/>
    </row>
    <row r="133" customFormat="false" ht="15" hidden="false" customHeight="false" outlineLevel="0" collapsed="false">
      <c r="M133" s="2"/>
      <c r="P133" s="79" t="n">
        <f aca="false">P129+Q129+R129</f>
        <v>14483553076.9621</v>
      </c>
      <c r="Q133" s="24"/>
      <c r="R133" s="53"/>
    </row>
    <row r="134" customFormat="false" ht="15" hidden="false" customHeight="false" outlineLevel="0" collapsed="false">
      <c r="P134" s="27" t="s">
        <v>167</v>
      </c>
      <c r="Q134" s="24"/>
      <c r="R134" s="53"/>
    </row>
    <row r="135" customFormat="false" ht="15.75" hidden="false" customHeight="false" outlineLevel="0" collapsed="false">
      <c r="P135" s="87" t="n">
        <f aca="false">P133*P124</f>
        <v>639151103.536086</v>
      </c>
      <c r="Q135" s="43"/>
      <c r="R135" s="57"/>
    </row>
    <row r="138" customFormat="false" ht="15.75" hidden="false" customHeight="false" outlineLevel="0" collapsed="false">
      <c r="P138" s="5" t="s">
        <v>168</v>
      </c>
    </row>
    <row r="139" customFormat="false" ht="30" hidden="false" customHeight="false" outlineLevel="0" collapsed="false">
      <c r="P139" s="15" t="s">
        <v>169</v>
      </c>
      <c r="Q139" s="49" t="s">
        <v>170</v>
      </c>
    </row>
    <row r="140" customFormat="false" ht="15" hidden="false" customHeight="false" outlineLevel="0" collapsed="false">
      <c r="P140" s="94" t="n">
        <f aca="false">((K67*K91)+(K68*K92)+(K93*K69)+(K94*K70)+(K71*K95)+(K96*K78)+(Q30*K79)+(K80*K98))</f>
        <v>5205.23804332577</v>
      </c>
      <c r="Q140" s="53" t="n">
        <f aca="false">K83*K84*K85*K86*K87*K88</f>
        <v>2.52</v>
      </c>
    </row>
    <row r="141" customFormat="false" ht="15" hidden="false" customHeight="false" outlineLevel="0" collapsed="false">
      <c r="P141" s="27"/>
      <c r="Q141" s="53"/>
    </row>
    <row r="142" customFormat="false" ht="15" hidden="false" customHeight="false" outlineLevel="0" collapsed="false">
      <c r="P142" s="27" t="s">
        <v>168</v>
      </c>
      <c r="Q142" s="53"/>
    </row>
    <row r="143" customFormat="false" ht="15.75" hidden="false" customHeight="false" outlineLevel="0" collapsed="false">
      <c r="P143" s="95" t="n">
        <f aca="false">K15*Q140*N32*P140</f>
        <v>1571923257.28306</v>
      </c>
      <c r="Q143" s="57"/>
    </row>
    <row r="146" customFormat="false" ht="15.75" hidden="false" customHeight="false" outlineLevel="0" collapsed="false">
      <c r="P146" s="5" t="s">
        <v>171</v>
      </c>
    </row>
    <row r="147" customFormat="false" ht="30" hidden="false" customHeight="false" outlineLevel="0" collapsed="false">
      <c r="P147" s="29" t="s">
        <v>172</v>
      </c>
      <c r="Q147" s="16" t="s">
        <v>173</v>
      </c>
      <c r="R147" s="16" t="s">
        <v>174</v>
      </c>
      <c r="S147" s="96" t="s">
        <v>175</v>
      </c>
    </row>
    <row r="148" customFormat="false" ht="15" hidden="false" customHeight="false" outlineLevel="0" collapsed="false">
      <c r="P148" s="79" t="n">
        <f aca="false">P86/1000</f>
        <v>143276415.518338</v>
      </c>
      <c r="Q148" s="62" t="n">
        <f aca="false">N36*P148</f>
        <v>90264141.7765529</v>
      </c>
      <c r="R148" s="62" t="n">
        <f aca="false">P148*N37</f>
        <v>73070971.9143523</v>
      </c>
      <c r="S148" s="63" t="n">
        <f aca="false">N38*P148</f>
        <v>81667556.8454526</v>
      </c>
    </row>
    <row r="149" customFormat="false" ht="15" hidden="false" customHeight="false" outlineLevel="0" collapsed="false">
      <c r="P149" s="27"/>
      <c r="Q149" s="24"/>
      <c r="R149" s="24"/>
      <c r="S149" s="25"/>
    </row>
    <row r="150" customFormat="false" ht="30" hidden="false" customHeight="false" outlineLevel="0" collapsed="false">
      <c r="P150" s="54" t="s">
        <v>176</v>
      </c>
      <c r="Q150" s="24"/>
      <c r="R150" s="24"/>
      <c r="S150" s="25"/>
    </row>
    <row r="151" customFormat="false" ht="15.75" hidden="false" customHeight="false" outlineLevel="0" collapsed="false">
      <c r="P151" s="87" t="n">
        <f aca="false">Q148+R148+S148</f>
        <v>245002670.536358</v>
      </c>
      <c r="Q151" s="43"/>
      <c r="R151" s="43"/>
      <c r="S151" s="44"/>
    </row>
    <row r="154" customFormat="false" ht="15.75" hidden="false" customHeight="false" outlineLevel="0" collapsed="false">
      <c r="P154" s="5" t="s">
        <v>177</v>
      </c>
    </row>
    <row r="155" customFormat="false" ht="15" hidden="false" customHeight="false" outlineLevel="0" collapsed="false">
      <c r="P155" s="29" t="s">
        <v>178</v>
      </c>
      <c r="Q155" s="48" t="s">
        <v>179</v>
      </c>
      <c r="R155" s="48" t="s">
        <v>180</v>
      </c>
      <c r="S155" s="97" t="s">
        <v>181</v>
      </c>
      <c r="T155" s="58" t="s">
        <v>182</v>
      </c>
    </row>
    <row r="156" customFormat="false" ht="15" hidden="false" customHeight="false" outlineLevel="0" collapsed="false">
      <c r="P156" s="98" t="n">
        <f aca="false">1-K102</f>
        <v>0.1</v>
      </c>
      <c r="Q156" s="72" t="n">
        <f aca="false">K102*K103+P156*K105</f>
        <v>0.06</v>
      </c>
      <c r="R156" s="99" t="n">
        <f aca="false">D4</f>
        <v>4051802825.29861</v>
      </c>
      <c r="S156" s="62" t="n">
        <f aca="false">R156*K102</f>
        <v>3646622542.76875</v>
      </c>
      <c r="T156" s="100" t="n">
        <f aca="false">R156*P156</f>
        <v>405180282.529861</v>
      </c>
    </row>
    <row r="157" customFormat="false" ht="15" hidden="false" customHeight="false" outlineLevel="0" collapsed="false">
      <c r="P157" s="27"/>
      <c r="Q157" s="24"/>
      <c r="R157" s="24"/>
      <c r="S157" s="22"/>
      <c r="T157" s="53"/>
    </row>
    <row r="158" customFormat="false" ht="26.25" hidden="false" customHeight="true" outlineLevel="0" collapsed="false">
      <c r="P158" s="27" t="s">
        <v>183</v>
      </c>
      <c r="Q158" s="24" t="s">
        <v>184</v>
      </c>
      <c r="R158" s="24" t="s">
        <v>185</v>
      </c>
      <c r="S158" s="81" t="s">
        <v>186</v>
      </c>
      <c r="T158" s="53"/>
    </row>
    <row r="159" customFormat="false" ht="15" hidden="false" customHeight="false" outlineLevel="0" collapsed="false">
      <c r="P159" s="101" t="n">
        <f aca="false">(K103*(1+K103)^K104)/((1+K103)^K104-1)</f>
        <v>0.0802425871906913</v>
      </c>
      <c r="Q159" s="62" t="n">
        <f aca="false">S156*P159</f>
        <v>292614427.339662</v>
      </c>
      <c r="R159" s="28" t="n">
        <f aca="false">(K105*(1+K105)^K104)/((1+K105)^K104-1)</f>
        <v>0.159761470405744</v>
      </c>
      <c r="S159" s="62" t="n">
        <f aca="false">T156*R159</f>
        <v>64732197.7163853</v>
      </c>
      <c r="T159" s="53"/>
    </row>
    <row r="160" customFormat="false" ht="15" hidden="false" customHeight="false" outlineLevel="0" collapsed="false">
      <c r="P160" s="27"/>
      <c r="Q160" s="24"/>
      <c r="R160" s="24"/>
      <c r="S160" s="22"/>
      <c r="T160" s="53"/>
    </row>
    <row r="161" customFormat="false" ht="30" hidden="false" customHeight="false" outlineLevel="0" collapsed="false">
      <c r="P161" s="54" t="s">
        <v>189</v>
      </c>
      <c r="Q161" s="24"/>
      <c r="R161" s="24"/>
      <c r="S161" s="22"/>
      <c r="T161" s="53"/>
    </row>
    <row r="162" customFormat="false" ht="15.75" hidden="false" customHeight="false" outlineLevel="0" collapsed="false">
      <c r="P162" s="87" t="n">
        <f aca="false">Q159+S159</f>
        <v>357346625.056047</v>
      </c>
      <c r="Q162" s="43"/>
      <c r="R162" s="43"/>
      <c r="S162" s="42"/>
      <c r="T162" s="57"/>
    </row>
    <row r="164" customFormat="false" ht="15" hidden="false" customHeight="false" outlineLevel="0" collapsed="false">
      <c r="P164" s="102"/>
    </row>
  </sheetData>
  <mergeCells count="8">
    <mergeCell ref="P2:Q2"/>
    <mergeCell ref="V4:W4"/>
    <mergeCell ref="B5:C5"/>
    <mergeCell ref="B6:C6"/>
    <mergeCell ref="B24:C24"/>
    <mergeCell ref="B40:C40"/>
    <mergeCell ref="P55:Q55"/>
    <mergeCell ref="B58:C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164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pane xSplit="0" ySplit="4" topLeftCell="A5" activePane="bottomLeft" state="frozen"/>
      <selection pane="topLeft" activeCell="N1" activeCellId="0" sqref="N1"/>
      <selection pane="bottom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.57"/>
    <col collapsed="false" customWidth="true" hidden="false" outlineLevel="0" max="5" min="4" style="0" width="22"/>
    <col collapsed="false" customWidth="true" hidden="false" outlineLevel="0" max="6" min="6" style="0" width="31.71"/>
    <col collapsed="false" customWidth="true" hidden="false" outlineLevel="0" max="7" min="7" style="0" width="20.71"/>
    <col collapsed="false" customWidth="true" hidden="false" outlineLevel="0" max="8" min="8" style="0" width="30.71"/>
    <col collapsed="false" customWidth="true" hidden="false" outlineLevel="0" max="9" min="9" style="0" width="29.86"/>
    <col collapsed="false" customWidth="true" hidden="false" outlineLevel="0" max="10" min="10" style="1" width="48.71"/>
    <col collapsed="false" customWidth="true" hidden="false" outlineLevel="0" max="11" min="11" style="2" width="16.85"/>
    <col collapsed="false" customWidth="true" hidden="false" outlineLevel="0" max="13" min="13" style="1" width="48.71"/>
    <col collapsed="false" customWidth="true" hidden="false" outlineLevel="0" max="14" min="14" style="0" width="16.57"/>
    <col collapsed="false" customWidth="true" hidden="false" outlineLevel="0" max="15" min="15" style="0" width="9.14"/>
    <col collapsed="false" customWidth="true" hidden="false" outlineLevel="0" max="16" min="16" style="0" width="29.86"/>
    <col collapsed="false" customWidth="true" hidden="false" outlineLevel="0" max="17" min="17" style="0" width="28.3"/>
    <col collapsed="false" customWidth="true" hidden="false" outlineLevel="0" max="18" min="18" style="0" width="29.42"/>
    <col collapsed="false" customWidth="true" hidden="false" outlineLevel="0" max="19" min="19" style="3" width="21.71"/>
    <col collapsed="false" customWidth="true" hidden="false" outlineLevel="0" max="20" min="20" style="0" width="22.85"/>
    <col collapsed="false" customWidth="true" hidden="false" outlineLevel="0" max="21" min="21" style="0" width="22"/>
    <col collapsed="false" customWidth="true" hidden="false" outlineLevel="0" max="24" min="24" style="0" width="18.14"/>
  </cols>
  <sheetData>
    <row r="2" customFormat="false" ht="19.5" hidden="false" customHeight="false" outlineLevel="0" collapsed="false">
      <c r="B2" s="4"/>
      <c r="C2" s="4"/>
      <c r="J2" s="5" t="s">
        <v>0</v>
      </c>
      <c r="M2" s="5" t="s">
        <v>1</v>
      </c>
      <c r="P2" s="6" t="s">
        <v>2</v>
      </c>
      <c r="Q2" s="6"/>
    </row>
    <row r="3" customFormat="false" ht="113.25" hidden="false" customHeight="false" outlineLevel="0" collapsed="false">
      <c r="B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  <c r="M3" s="9" t="s">
        <v>11</v>
      </c>
      <c r="P3" s="5" t="s">
        <v>12</v>
      </c>
      <c r="AA3" s="4"/>
      <c r="AB3" s="4"/>
      <c r="AC3" s="4"/>
    </row>
    <row r="4" customFormat="false" ht="30" hidden="false" customHeight="true" outlineLevel="0" collapsed="false">
      <c r="B4" s="103" t="n">
        <f aca="false">(F4+P162)/K11</f>
        <v>269780.33019563</v>
      </c>
      <c r="C4" s="33"/>
      <c r="D4" s="104" t="n">
        <f aca="false">Q42</f>
        <v>280066139.489101</v>
      </c>
      <c r="E4" s="104" t="n">
        <f aca="false">P162*K104</f>
        <v>494005725.619339</v>
      </c>
      <c r="F4" s="104" t="n">
        <f aca="false">P58+P88+P115+P135+P143+P151</f>
        <v>32643395253385</v>
      </c>
      <c r="G4" s="104" t="n">
        <f aca="false">F4/K11</f>
        <v>269780.126061033</v>
      </c>
      <c r="H4" s="104" t="n">
        <f aca="false">(D4/K104) +F4</f>
        <v>32643409256692</v>
      </c>
      <c r="I4" s="104" t="n">
        <f aca="false">H4/K11</f>
        <v>269780.241790843</v>
      </c>
      <c r="J4" s="1" t="s">
        <v>13</v>
      </c>
      <c r="K4" s="3" t="n">
        <v>95000000</v>
      </c>
      <c r="M4" s="1" t="s">
        <v>14</v>
      </c>
      <c r="N4" s="11" t="n">
        <v>50000</v>
      </c>
      <c r="P4" s="15" t="s">
        <v>15</v>
      </c>
      <c r="Q4" s="16" t="s">
        <v>16</v>
      </c>
      <c r="R4" s="16" t="s">
        <v>17</v>
      </c>
      <c r="S4" s="17" t="s">
        <v>18</v>
      </c>
      <c r="T4" s="16" t="s">
        <v>19</v>
      </c>
      <c r="U4" s="16" t="s">
        <v>20</v>
      </c>
      <c r="V4" s="18" t="s">
        <v>21</v>
      </c>
      <c r="W4" s="18"/>
      <c r="X4" s="19"/>
    </row>
    <row r="5" customFormat="false" ht="15" hidden="false" customHeight="false" outlineLevel="0" collapsed="false">
      <c r="B5" s="20" t="s">
        <v>22</v>
      </c>
      <c r="C5" s="20"/>
      <c r="J5" s="1" t="s">
        <v>23</v>
      </c>
      <c r="K5" s="2" t="n">
        <v>2</v>
      </c>
      <c r="N5" s="11"/>
      <c r="P5" s="21" t="n">
        <f aca="false">K4*1000*K5</f>
        <v>190000000000</v>
      </c>
      <c r="Q5" s="22" t="n">
        <f aca="false">K6*1000*K7</f>
        <v>19000000000000</v>
      </c>
      <c r="R5" s="23" t="n">
        <f aca="false">IF(Q5&lt; P5,("Invalid input"),((LN(Q5/P5))/(LN(2)))*K26)</f>
        <v>106.301699036396</v>
      </c>
      <c r="S5" s="23" t="n">
        <f aca="false">IF(Q5&lt;P5,("Invalid input"),((LN(U5/T5))/(LN(2)))*K26)</f>
        <v>106.301699036396</v>
      </c>
      <c r="T5" s="22" t="n">
        <f aca="false">IF(Q5&lt;P5,("Invalid input"),Q5)</f>
        <v>19000000000000</v>
      </c>
      <c r="U5" s="22" t="n">
        <f aca="false">K10*1000*K9</f>
        <v>1900000000000000</v>
      </c>
      <c r="V5" s="24" t="n">
        <v>0</v>
      </c>
      <c r="W5" s="25" t="n">
        <f aca="false">IF($U$5&gt;((2^(V5/$K$26))*$T$5),(2^(V5/$K$26))*$T$5, ("N/A"))</f>
        <v>19000000000000</v>
      </c>
      <c r="X5" s="22"/>
    </row>
    <row r="6" customFormat="false" ht="15" hidden="false" customHeight="true" outlineLevel="0" collapsed="false">
      <c r="B6" s="26" t="s">
        <v>24</v>
      </c>
      <c r="C6" s="26"/>
      <c r="J6" s="1" t="s">
        <v>25</v>
      </c>
      <c r="K6" s="2" t="n">
        <v>200</v>
      </c>
      <c r="P6" s="27"/>
      <c r="Q6" s="24"/>
      <c r="R6" s="28"/>
      <c r="S6" s="22"/>
      <c r="T6" s="24"/>
      <c r="U6" s="24"/>
      <c r="V6" s="28" t="n">
        <f aca="false">IF(V5+$K$26&lt;=$S$5,V5+$K$26,IF(V5=("N/A"),("N/A"),$S$5))</f>
        <v>16</v>
      </c>
      <c r="W6" s="25" t="n">
        <f aca="false">IF(($U$5)&gt;((2^(V6/$K$26))*$T$5),(2^(V6/$K$26))*$T$5, "N/A")</f>
        <v>38000000000000</v>
      </c>
      <c r="X6" s="24"/>
    </row>
    <row r="7" customFormat="false" ht="15" hidden="false" customHeight="false" outlineLevel="0" collapsed="false">
      <c r="B7" s="29" t="s">
        <v>26</v>
      </c>
      <c r="C7" s="30" t="n">
        <v>0.361963534320409</v>
      </c>
      <c r="J7" s="1" t="s">
        <v>27</v>
      </c>
      <c r="K7" s="3" t="n">
        <v>95000000</v>
      </c>
      <c r="P7" s="27"/>
      <c r="Q7" s="24"/>
      <c r="R7" s="28"/>
      <c r="S7" s="22"/>
      <c r="T7" s="24"/>
      <c r="U7" s="24"/>
      <c r="V7" s="28" t="n">
        <f aca="false">IF(V6+$K$26&lt;=$S$5,V6+$K$26,IF(V6=("N/A"),("N/A"),$S$5))</f>
        <v>32</v>
      </c>
      <c r="W7" s="25" t="n">
        <f aca="false">IF(($U$5)&gt;((2^(V7/$K$26))*$T$5),(2^(V7/$K$26))*$T$5, "N/A")</f>
        <v>76000000000000</v>
      </c>
      <c r="X7" s="24"/>
    </row>
    <row r="8" customFormat="false" ht="15" hidden="false" customHeight="false" outlineLevel="0" collapsed="false">
      <c r="B8" s="27" t="s">
        <v>28</v>
      </c>
      <c r="C8" s="31" t="n">
        <v>0.333333333333333</v>
      </c>
      <c r="J8" s="1" t="s">
        <v>29</v>
      </c>
      <c r="K8" s="2" t="n">
        <v>20</v>
      </c>
      <c r="P8" s="27"/>
      <c r="Q8" s="24"/>
      <c r="R8" s="28"/>
      <c r="S8" s="22"/>
      <c r="T8" s="24"/>
      <c r="U8" s="24"/>
      <c r="V8" s="28" t="n">
        <f aca="false">IF(V7+$K$26&lt;=$S$5,V7+$K$26,IF(V7=("N/A"),("N/A"),$S$5))</f>
        <v>48</v>
      </c>
      <c r="W8" s="25" t="n">
        <f aca="false">IF(($U$5)&gt;((2^(V8/$K$26))*$T$5),(2^(V8/$K$26))*$T$5, "N/A")</f>
        <v>152000000000000</v>
      </c>
      <c r="X8" s="24"/>
    </row>
    <row r="9" customFormat="false" ht="15" hidden="false" customHeight="false" outlineLevel="0" collapsed="false">
      <c r="B9" s="27" t="s">
        <v>30</v>
      </c>
      <c r="C9" s="31" t="n">
        <v>0.333333333333333</v>
      </c>
      <c r="J9" s="1" t="s">
        <v>31</v>
      </c>
      <c r="K9" s="2" t="n">
        <f aca="false">K8*1000</f>
        <v>20000</v>
      </c>
      <c r="P9" s="27"/>
      <c r="Q9" s="24"/>
      <c r="R9" s="28"/>
      <c r="S9" s="22"/>
      <c r="T9" s="24"/>
      <c r="U9" s="24"/>
      <c r="V9" s="28" t="n">
        <f aca="false">IF(V8+$K$26&lt;=$S$5,V8+$K$26,IF(V8=("N/A"),("N/A"),$S$5))</f>
        <v>64</v>
      </c>
      <c r="W9" s="25" t="n">
        <f aca="false">IF(($U$5)&gt;((2^(V9/$K$26))*$T$5),(2^(V9/$K$26))*$T$5, "N/A")</f>
        <v>304000000000000</v>
      </c>
      <c r="X9" s="24"/>
    </row>
    <row r="10" customFormat="false" ht="15" hidden="false" customHeight="false" outlineLevel="0" collapsed="false">
      <c r="B10" s="27" t="s">
        <v>32</v>
      </c>
      <c r="C10" s="31" t="n">
        <v>0.333333333333333</v>
      </c>
      <c r="J10" s="1" t="s">
        <v>33</v>
      </c>
      <c r="K10" s="14" t="n">
        <f aca="false">95000000</f>
        <v>95000000</v>
      </c>
      <c r="M10" s="9" t="s">
        <v>34</v>
      </c>
      <c r="P10" s="27"/>
      <c r="Q10" s="24"/>
      <c r="R10" s="28"/>
      <c r="S10" s="22"/>
      <c r="T10" s="24"/>
      <c r="U10" s="24"/>
      <c r="V10" s="28" t="n">
        <f aca="false">IF(V9+$K$26&lt;=$S$5,V9+$K$26,IF(V9=("N/A"),("N/A"),$S$5))</f>
        <v>80</v>
      </c>
      <c r="W10" s="25" t="n">
        <f aca="false">IF(($U$5)&gt;((2^(V10/$K$26))*$T$5),(2^(V10/$K$26))*$T$5, "N/A")</f>
        <v>608000000000000</v>
      </c>
      <c r="X10" s="24"/>
    </row>
    <row r="11" customFormat="false" ht="15" hidden="false" customHeight="false" outlineLevel="0" collapsed="false">
      <c r="B11" s="27" t="s">
        <v>31</v>
      </c>
      <c r="C11" s="31" t="n">
        <v>0.309570443988403</v>
      </c>
      <c r="J11" s="105" t="s">
        <v>35</v>
      </c>
      <c r="K11" s="32" t="n">
        <v>121000000</v>
      </c>
      <c r="M11" s="1" t="s">
        <v>36</v>
      </c>
      <c r="N11" s="33" t="n">
        <f aca="false">3.12</f>
        <v>3.12</v>
      </c>
      <c r="P11" s="27"/>
      <c r="Q11" s="24"/>
      <c r="R11" s="28"/>
      <c r="S11" s="22"/>
      <c r="T11" s="24"/>
      <c r="U11" s="24"/>
      <c r="V11" s="28" t="n">
        <f aca="false">IF(V10+$K$26&lt;=$S$5,V10+$K$26,IF(V10=("N/A"),("N/A"),$S$5))</f>
        <v>96</v>
      </c>
      <c r="W11" s="25" t="n">
        <f aca="false">IF(($U$5)&gt;((2^(V11/$K$26))*$T$5),(2^(V11/$K$26))*$T$5, "N/A")</f>
        <v>1216000000000000</v>
      </c>
      <c r="X11" s="24"/>
    </row>
    <row r="12" customFormat="false" ht="15" hidden="false" customHeight="false" outlineLevel="0" collapsed="false">
      <c r="B12" s="27" t="s">
        <v>33</v>
      </c>
      <c r="C12" s="31" t="n">
        <v>0.309570443988403</v>
      </c>
      <c r="F12" s="34"/>
      <c r="J12" s="1" t="s">
        <v>37</v>
      </c>
      <c r="K12" s="2" t="n">
        <v>1.29</v>
      </c>
      <c r="M12" s="1" t="s">
        <v>38</v>
      </c>
      <c r="N12" s="11" t="n">
        <f aca="false">7.84</f>
        <v>7.84</v>
      </c>
      <c r="P12" s="27"/>
      <c r="Q12" s="24"/>
      <c r="R12" s="28"/>
      <c r="S12" s="22"/>
      <c r="T12" s="24"/>
      <c r="U12" s="24"/>
      <c r="V12" s="28" t="n">
        <f aca="false">IF(V11+$K$26&lt;=$S$5,V11+$K$26,IF(V11=("N/A"),("N/A"),$S$5))</f>
        <v>106.301699036396</v>
      </c>
      <c r="W12" s="25" t="str">
        <f aca="false">IF(($U$5)&gt;((2^(V12/$K$26))*$T$5),(2^(V12/$K$26))*$T$5, "N/A")</f>
        <v>N/A</v>
      </c>
      <c r="X12" s="24"/>
    </row>
    <row r="13" customFormat="false" ht="15" hidden="false" customHeight="false" outlineLevel="0" collapsed="false">
      <c r="B13" s="27" t="s">
        <v>14</v>
      </c>
      <c r="C13" s="31" t="n">
        <v>0.25</v>
      </c>
      <c r="J13" s="1" t="s">
        <v>39</v>
      </c>
      <c r="K13" s="2" t="n">
        <v>2</v>
      </c>
      <c r="M13" s="1" t="s">
        <v>40</v>
      </c>
      <c r="N13" s="11" t="n">
        <f aca="false">0.01/2</f>
        <v>0.005</v>
      </c>
      <c r="P13" s="27"/>
      <c r="Q13" s="24"/>
      <c r="R13" s="24"/>
      <c r="S13" s="22"/>
      <c r="T13" s="24"/>
      <c r="U13" s="24"/>
      <c r="V13" s="28" t="n">
        <f aca="false">IF(V12+$K$26&lt;=$S$5,V12+$K$26,IF(V12=("N/A"),("N/A"),$S$5))</f>
        <v>106.301699036396</v>
      </c>
      <c r="W13" s="25" t="str">
        <f aca="false">IF(($U$5)&gt;((2^(V13/$K$26))*$T$5),(2^(V13/$K$26))*$T$5, "N/A")</f>
        <v>N/A</v>
      </c>
      <c r="X13" s="24"/>
    </row>
    <row r="14" customFormat="false" ht="15.75" hidden="false" customHeight="false" outlineLevel="0" collapsed="false">
      <c r="B14" s="27" t="s">
        <v>37</v>
      </c>
      <c r="C14" s="31" t="n">
        <v>0.25</v>
      </c>
      <c r="F14" s="2"/>
      <c r="J14" s="74" t="s">
        <v>41</v>
      </c>
      <c r="K14" s="2" t="n">
        <v>156</v>
      </c>
      <c r="M14" s="1" t="s">
        <v>42</v>
      </c>
      <c r="N14" s="11" t="n">
        <f aca="false">0.1</f>
        <v>0.1</v>
      </c>
      <c r="P14" s="27"/>
      <c r="Q14" s="24"/>
      <c r="R14" s="24"/>
      <c r="S14" s="22"/>
      <c r="T14" s="24"/>
      <c r="U14" s="24"/>
      <c r="V14" s="28" t="n">
        <f aca="false">IF(V13+$K$26&lt;=$S$5,V13+$K$26,IF(V13=("N/A"),("N/A"),$S$5))</f>
        <v>106.301699036396</v>
      </c>
      <c r="W14" s="25" t="str">
        <f aca="false">IF(($U$5)&gt;((2^(V14/$K$26))*$T$5),(2^(V14/$K$26))*$T$5, "N/A")</f>
        <v>N/A</v>
      </c>
      <c r="X14" s="24"/>
    </row>
    <row r="15" customFormat="false" ht="15.75" hidden="false" customHeight="false" outlineLevel="0" collapsed="false">
      <c r="B15" s="27" t="s">
        <v>43</v>
      </c>
      <c r="C15" s="31" t="n">
        <v>0.25</v>
      </c>
      <c r="J15" s="74" t="s">
        <v>32</v>
      </c>
      <c r="K15" s="2" t="n">
        <v>8760</v>
      </c>
      <c r="M15" s="1" t="s">
        <v>44</v>
      </c>
      <c r="N15" s="11" t="n">
        <f aca="false">340</f>
        <v>340</v>
      </c>
      <c r="P15" s="27"/>
      <c r="Q15" s="24"/>
      <c r="R15" s="24"/>
      <c r="S15" s="22"/>
      <c r="T15" s="24"/>
      <c r="U15" s="24"/>
      <c r="V15" s="28" t="n">
        <f aca="false">IF(V14+$K$26&lt;=$S$5,V14+$K$26,IF(V14=("N/A"),("N/A"),$S$5))</f>
        <v>106.301699036396</v>
      </c>
      <c r="W15" s="25" t="str">
        <f aca="false">IF(($U$5)&gt;((2^(V15/$K$26))*$T$5),(2^(V15/$K$26))*$T$5, "N/A")</f>
        <v>N/A</v>
      </c>
      <c r="X15" s="24"/>
    </row>
    <row r="16" customFormat="false" ht="15" hidden="false" customHeight="false" outlineLevel="0" collapsed="false">
      <c r="B16" s="27" t="s">
        <v>39</v>
      </c>
      <c r="C16" s="31" t="n">
        <v>0.25</v>
      </c>
      <c r="J16" s="1" t="s">
        <v>26</v>
      </c>
      <c r="K16" s="2" t="n">
        <v>0.6</v>
      </c>
      <c r="M16" s="1" t="s">
        <v>45</v>
      </c>
      <c r="N16" s="11" t="n">
        <f aca="false">400</f>
        <v>400</v>
      </c>
      <c r="P16" s="27"/>
      <c r="Q16" s="24"/>
      <c r="R16" s="24"/>
      <c r="S16" s="22"/>
      <c r="T16" s="24"/>
      <c r="U16" s="24"/>
      <c r="V16" s="28" t="n">
        <f aca="false">IF(V15+$K$26&lt;=$S$5,V15+$K$26,IF(V15=("N/A"),("N/A"),$S$5))</f>
        <v>106.301699036396</v>
      </c>
      <c r="W16" s="25" t="str">
        <f aca="false">IF(($U$5)&gt;((2^(V16/$K$26))*$T$5),(2^(V16/$K$26))*$T$5, "N/A")</f>
        <v>N/A</v>
      </c>
      <c r="X16" s="24"/>
    </row>
    <row r="17" customFormat="false" ht="15" hidden="false" customHeight="true" outlineLevel="0" collapsed="false">
      <c r="B17" s="27" t="s">
        <v>29</v>
      </c>
      <c r="C17" s="31" t="n">
        <v>0.15853364091535</v>
      </c>
      <c r="J17" s="1" t="s">
        <v>46</v>
      </c>
      <c r="K17" s="2" t="n">
        <v>0.5</v>
      </c>
      <c r="M17" s="1" t="s">
        <v>47</v>
      </c>
      <c r="N17" s="11" t="n">
        <v>2050000</v>
      </c>
      <c r="P17" s="36"/>
      <c r="Q17" s="37"/>
      <c r="R17" s="37"/>
      <c r="S17" s="22"/>
      <c r="T17" s="24"/>
      <c r="U17" s="24"/>
      <c r="V17" s="28" t="n">
        <f aca="false">IF(V16+$K$26&lt;=$S$5,V16+$K$26,IF(V16=("N/A"),("N/A"),$S$5))</f>
        <v>106.301699036396</v>
      </c>
      <c r="W17" s="25" t="str">
        <f aca="false">IF(($U$5)&gt;((2^(V17/$K$26))*$T$5),(2^(V17/$K$26))*$T$5, "N/A")</f>
        <v>N/A</v>
      </c>
      <c r="X17" s="24"/>
    </row>
    <row r="18" customFormat="false" ht="15" hidden="false" customHeight="false" outlineLevel="0" collapsed="false">
      <c r="B18" s="27" t="s">
        <v>48</v>
      </c>
      <c r="C18" s="31" t="n">
        <v>0.142647248503661</v>
      </c>
      <c r="J18" s="1" t="s">
        <v>49</v>
      </c>
      <c r="K18" s="2" t="n">
        <v>0.15</v>
      </c>
      <c r="M18" s="1" t="s">
        <v>50</v>
      </c>
      <c r="N18" s="11" t="n">
        <f aca="false">3236000</f>
        <v>3236000</v>
      </c>
      <c r="P18" s="36"/>
      <c r="Q18" s="37"/>
      <c r="R18" s="37"/>
      <c r="S18" s="22"/>
      <c r="T18" s="24"/>
      <c r="U18" s="24"/>
      <c r="V18" s="28" t="n">
        <f aca="false">IF(V17+$K$26&lt;=$S$5,V17+$K$26,IF(V17=("N/A"),("N/A"),$S$5))</f>
        <v>106.301699036396</v>
      </c>
      <c r="W18" s="25" t="str">
        <f aca="false">IF(($U$5)&gt;((2^(V18/$K$26))*$T$5),(2^(V18/$K$26))*$T$5, "N/A")</f>
        <v>N/A</v>
      </c>
      <c r="X18" s="24"/>
    </row>
    <row r="19" customFormat="false" ht="13.5" hidden="false" customHeight="true" outlineLevel="0" collapsed="false">
      <c r="B19" s="27" t="s">
        <v>41</v>
      </c>
      <c r="C19" s="31" t="n">
        <v>0.107352751496339</v>
      </c>
      <c r="K19" s="2" t="n">
        <v>20</v>
      </c>
      <c r="N19" s="11"/>
      <c r="P19" s="36" t="s">
        <v>51</v>
      </c>
      <c r="Q19" s="38" t="n">
        <f aca="false">S5</f>
        <v>106.301699036396</v>
      </c>
      <c r="R19" s="37"/>
      <c r="S19" s="22"/>
      <c r="T19" s="24"/>
      <c r="U19" s="24"/>
      <c r="V19" s="28" t="n">
        <f aca="false">IF(V18+$K$26&lt;=$S$5,V18+$K$26,IF(V18=("N/A"),("N/A"),$S$5))</f>
        <v>106.301699036396</v>
      </c>
      <c r="W19" s="25" t="str">
        <f aca="false">IF(($U$5)&gt;((2^(V19/$K$26))*$T$5),(2^(V19/$K$26))*$T$5, "N/A")</f>
        <v>N/A</v>
      </c>
      <c r="X19" s="24"/>
    </row>
    <row r="20" customFormat="false" ht="15.75" hidden="false" customHeight="false" outlineLevel="0" collapsed="false">
      <c r="B20" s="27" t="s">
        <v>13</v>
      </c>
      <c r="C20" s="31" t="n">
        <v>0.0178221670086974</v>
      </c>
      <c r="N20" s="11"/>
      <c r="P20" s="39" t="s">
        <v>52</v>
      </c>
      <c r="Q20" s="40" t="n">
        <f aca="false">Q19+K14</f>
        <v>262.301699036396</v>
      </c>
      <c r="R20" s="41"/>
      <c r="S20" s="42"/>
      <c r="T20" s="43"/>
      <c r="U20" s="43"/>
      <c r="V20" s="43"/>
      <c r="W20" s="44"/>
      <c r="X20" s="24"/>
    </row>
    <row r="21" customFormat="false" ht="15.75" hidden="false" customHeight="false" outlineLevel="0" collapsed="false">
      <c r="B21" s="45" t="s">
        <v>23</v>
      </c>
      <c r="C21" s="46" t="n">
        <v>0.0178221670086974</v>
      </c>
      <c r="N21" s="11"/>
      <c r="P21" s="47"/>
      <c r="Q21" s="28"/>
      <c r="R21" s="24"/>
      <c r="S21" s="22"/>
      <c r="T21" s="24"/>
      <c r="U21" s="24"/>
      <c r="V21" s="24"/>
      <c r="W21" s="22"/>
    </row>
    <row r="22" customFormat="false" ht="15" hidden="false" customHeight="false" outlineLevel="0" collapsed="false">
      <c r="N22" s="11"/>
      <c r="P22" s="47"/>
      <c r="Q22" s="28"/>
      <c r="R22" s="24"/>
      <c r="S22" s="22"/>
      <c r="T22" s="24"/>
      <c r="U22" s="24"/>
      <c r="V22" s="24"/>
      <c r="W22" s="22"/>
    </row>
    <row r="23" customFormat="false" ht="15.75" hidden="false" customHeight="false" outlineLevel="0" collapsed="false">
      <c r="J23" s="9" t="s">
        <v>53</v>
      </c>
      <c r="N23" s="11"/>
      <c r="P23" s="5" t="s">
        <v>54</v>
      </c>
      <c r="V23" s="24"/>
      <c r="W23" s="22"/>
    </row>
    <row r="24" customFormat="false" ht="30.75" hidden="false" customHeight="true" outlineLevel="0" collapsed="false">
      <c r="B24" s="26" t="s">
        <v>55</v>
      </c>
      <c r="C24" s="26"/>
      <c r="J24" s="1" t="s">
        <v>28</v>
      </c>
      <c r="K24" s="14" t="n">
        <v>5E-015</v>
      </c>
      <c r="N24" s="11"/>
      <c r="P24" s="15" t="s">
        <v>20</v>
      </c>
      <c r="Q24" s="16" t="s">
        <v>56</v>
      </c>
      <c r="R24" s="48" t="s">
        <v>57</v>
      </c>
      <c r="S24" s="17" t="s">
        <v>58</v>
      </c>
      <c r="T24" s="49" t="s">
        <v>59</v>
      </c>
    </row>
    <row r="25" customFormat="false" ht="15" hidden="false" customHeight="false" outlineLevel="0" collapsed="false">
      <c r="B25" s="29" t="s">
        <v>28</v>
      </c>
      <c r="C25" s="30" t="n">
        <v>0.33332362084795</v>
      </c>
      <c r="J25" s="1" t="s">
        <v>30</v>
      </c>
      <c r="K25" s="2" t="n">
        <v>1060</v>
      </c>
      <c r="M25" s="1" t="s">
        <v>60</v>
      </c>
      <c r="N25" s="11" t="n">
        <v>40</v>
      </c>
      <c r="P25" s="27" t="n">
        <f aca="false">K10*1000*K9</f>
        <v>1900000000000000</v>
      </c>
      <c r="Q25" s="50" t="n">
        <f aca="false">IF(P25*K24&lt;K8,(P25*K24),("exceeds bioreactor volume "))</f>
        <v>9.5</v>
      </c>
      <c r="R25" s="24" t="n">
        <f aca="false">Q25*K25</f>
        <v>10070</v>
      </c>
      <c r="S25" s="51" t="n">
        <f aca="false">K15/Q20</f>
        <v>33.3966574832766</v>
      </c>
      <c r="T25" s="52" t="n">
        <f aca="false">S25*R25</f>
        <v>336304.340856595</v>
      </c>
    </row>
    <row r="26" customFormat="false" ht="15" hidden="false" customHeight="false" outlineLevel="0" collapsed="false">
      <c r="B26" s="27" t="s">
        <v>30</v>
      </c>
      <c r="C26" s="31" t="n">
        <v>0.33332362084795</v>
      </c>
      <c r="J26" s="1" t="s">
        <v>48</v>
      </c>
      <c r="K26" s="2" t="n">
        <v>16</v>
      </c>
      <c r="P26" s="27"/>
      <c r="Q26" s="24"/>
      <c r="R26" s="24"/>
      <c r="S26" s="22"/>
      <c r="T26" s="53"/>
    </row>
    <row r="27" customFormat="false" ht="15" hidden="false" customHeight="false" outlineLevel="0" collapsed="false">
      <c r="B27" s="27" t="s">
        <v>61</v>
      </c>
      <c r="C27" s="31" t="n">
        <v>0.333309228174975</v>
      </c>
      <c r="J27" s="1" t="s">
        <v>62</v>
      </c>
      <c r="K27" s="14" t="n">
        <v>2.07E-013</v>
      </c>
      <c r="M27" s="9" t="s">
        <v>63</v>
      </c>
      <c r="P27" s="27"/>
      <c r="Q27" s="24"/>
      <c r="R27" s="24"/>
      <c r="S27" s="22"/>
      <c r="T27" s="53"/>
    </row>
    <row r="28" customFormat="false" ht="15" hidden="false" customHeight="false" outlineLevel="0" collapsed="false">
      <c r="B28" s="27" t="s">
        <v>43</v>
      </c>
      <c r="C28" s="31" t="n">
        <v>0.250005455289951</v>
      </c>
      <c r="J28" s="1" t="s">
        <v>64</v>
      </c>
      <c r="K28" s="14" t="n">
        <v>1.8E-014</v>
      </c>
      <c r="M28" s="1" t="s">
        <v>65</v>
      </c>
      <c r="N28" s="33" t="n">
        <v>4.17</v>
      </c>
      <c r="P28" s="27"/>
      <c r="Q28" s="24"/>
      <c r="R28" s="24"/>
      <c r="S28" s="22"/>
      <c r="T28" s="53"/>
    </row>
    <row r="29" customFormat="false" ht="15" hidden="false" customHeight="false" outlineLevel="0" collapsed="false">
      <c r="B29" s="27" t="s">
        <v>62</v>
      </c>
      <c r="C29" s="31" t="n">
        <v>0.249994660332044</v>
      </c>
      <c r="M29" s="1" t="s">
        <v>66</v>
      </c>
      <c r="N29" s="33" t="n">
        <v>1.42</v>
      </c>
      <c r="P29" s="27"/>
      <c r="Q29" s="24"/>
      <c r="R29" s="24"/>
      <c r="S29" s="22"/>
      <c r="T29" s="53"/>
    </row>
    <row r="30" customFormat="false" ht="30" hidden="false" customHeight="false" outlineLevel="0" collapsed="false">
      <c r="B30" s="27" t="s">
        <v>67</v>
      </c>
      <c r="C30" s="31" t="n">
        <v>0.237564574319464</v>
      </c>
      <c r="N30" s="33"/>
      <c r="P30" s="54" t="s">
        <v>68</v>
      </c>
      <c r="Q30" s="55" t="n">
        <f aca="false">K11/T25</f>
        <v>359.79315548471</v>
      </c>
      <c r="R30" s="24"/>
      <c r="S30" s="22"/>
      <c r="T30" s="53"/>
    </row>
    <row r="31" customFormat="false" ht="15.75" hidden="false" customHeight="false" outlineLevel="0" collapsed="false">
      <c r="B31" s="27" t="s">
        <v>47</v>
      </c>
      <c r="C31" s="31" t="n">
        <v>0.237557294776142</v>
      </c>
      <c r="J31" s="9" t="s">
        <v>69</v>
      </c>
      <c r="N31" s="33"/>
      <c r="P31" s="45" t="s">
        <v>70</v>
      </c>
      <c r="Q31" s="56" t="n">
        <f aca="false">Q30*S25</f>
        <v>12015.8887785501</v>
      </c>
      <c r="R31" s="43"/>
      <c r="S31" s="42"/>
      <c r="T31" s="57"/>
    </row>
    <row r="32" customFormat="false" ht="15.75" hidden="false" customHeight="false" outlineLevel="0" collapsed="false">
      <c r="B32" s="27" t="s">
        <v>41</v>
      </c>
      <c r="C32" s="31" t="n">
        <v>0.221828580707914</v>
      </c>
      <c r="J32" s="1" t="s">
        <v>71</v>
      </c>
      <c r="K32" s="14" t="n">
        <v>0.064</v>
      </c>
      <c r="M32" s="74" t="s">
        <v>72</v>
      </c>
      <c r="N32" s="33" t="n">
        <v>13.68</v>
      </c>
    </row>
    <row r="33" customFormat="false" ht="15.75" hidden="false" customHeight="false" outlineLevel="0" collapsed="false">
      <c r="B33" s="27" t="s">
        <v>25</v>
      </c>
      <c r="C33" s="31" t="n">
        <v>0.0569996039451294</v>
      </c>
      <c r="J33" s="1" t="s">
        <v>73</v>
      </c>
      <c r="K33" s="14" t="n">
        <v>0.543</v>
      </c>
      <c r="N33" s="33"/>
      <c r="P33" s="5" t="s">
        <v>74</v>
      </c>
    </row>
    <row r="34" customFormat="false" ht="15" hidden="false" customHeight="false" outlineLevel="0" collapsed="false">
      <c r="B34" s="27" t="s">
        <v>27</v>
      </c>
      <c r="C34" s="31" t="n">
        <v>0.0569996039451294</v>
      </c>
      <c r="J34" s="1" t="s">
        <v>75</v>
      </c>
      <c r="K34" s="14" t="n">
        <v>1.4E-005</v>
      </c>
      <c r="N34" s="33"/>
      <c r="P34" s="29" t="s">
        <v>76</v>
      </c>
      <c r="Q34" s="48"/>
      <c r="R34" s="58"/>
    </row>
    <row r="35" customFormat="false" ht="30" hidden="false" customHeight="false" outlineLevel="0" collapsed="false">
      <c r="B35" s="27" t="s">
        <v>31</v>
      </c>
      <c r="C35" s="31" t="n">
        <v>0.0375670387596748</v>
      </c>
      <c r="J35" s="1" t="s">
        <v>77</v>
      </c>
      <c r="K35" s="14" t="n">
        <v>0.0194</v>
      </c>
      <c r="M35" s="9" t="s">
        <v>78</v>
      </c>
      <c r="N35" s="33"/>
      <c r="P35" s="27" t="s">
        <v>79</v>
      </c>
      <c r="Q35" s="59" t="s">
        <v>80</v>
      </c>
      <c r="R35" s="60" t="s">
        <v>81</v>
      </c>
    </row>
    <row r="36" customFormat="false" ht="15" hidden="false" customHeight="false" outlineLevel="0" collapsed="false">
      <c r="B36" s="27" t="s">
        <v>33</v>
      </c>
      <c r="C36" s="31" t="n">
        <v>0.0375670387596748</v>
      </c>
      <c r="J36" s="1" t="s">
        <v>82</v>
      </c>
      <c r="K36" s="14" t="n">
        <v>0.0107</v>
      </c>
      <c r="M36" s="1" t="s">
        <v>83</v>
      </c>
      <c r="N36" s="33" t="n">
        <v>0.63</v>
      </c>
      <c r="P36" s="61" t="n">
        <f aca="false">Q30</f>
        <v>359.79315548471</v>
      </c>
      <c r="Q36" s="62" t="n">
        <f aca="false">P36* K12*N4*(K8^K16)</f>
        <v>140033069.744551</v>
      </c>
      <c r="R36" s="63" t="n">
        <f aca="false">Q36*K13</f>
        <v>280066139.489101</v>
      </c>
    </row>
    <row r="37" customFormat="false" ht="15.75" hidden="false" customHeight="false" outlineLevel="0" collapsed="false">
      <c r="B37" s="45" t="s">
        <v>48</v>
      </c>
      <c r="C37" s="46" t="n">
        <v>0.0281841536721815</v>
      </c>
      <c r="J37" s="1" t="s">
        <v>67</v>
      </c>
      <c r="K37" s="14" t="n">
        <v>0.0005</v>
      </c>
      <c r="M37" s="1" t="s">
        <v>84</v>
      </c>
      <c r="N37" s="33" t="n">
        <v>0.51</v>
      </c>
      <c r="P37" s="27"/>
      <c r="Q37" s="24"/>
      <c r="R37" s="53"/>
    </row>
    <row r="38" customFormat="false" ht="15" hidden="false" customHeight="false" outlineLevel="0" collapsed="false">
      <c r="C38" s="64"/>
      <c r="J38" s="1" t="s">
        <v>85</v>
      </c>
      <c r="K38" s="14" t="n">
        <v>2E-006</v>
      </c>
      <c r="M38" s="1" t="s">
        <v>86</v>
      </c>
      <c r="N38" s="33" t="n">
        <v>0.57</v>
      </c>
      <c r="P38" s="27"/>
      <c r="Q38" s="24"/>
      <c r="R38" s="53"/>
    </row>
    <row r="39" customFormat="false" ht="15" hidden="false" customHeight="false" outlineLevel="0" collapsed="false">
      <c r="C39" s="64"/>
      <c r="J39" s="1" t="s">
        <v>61</v>
      </c>
      <c r="K39" s="14" t="n">
        <v>0.0267</v>
      </c>
      <c r="P39" s="27"/>
      <c r="Q39" s="65"/>
      <c r="R39" s="60"/>
    </row>
    <row r="40" customFormat="false" ht="15.75" hidden="false" customHeight="false" outlineLevel="0" collapsed="false">
      <c r="B40" s="66" t="s">
        <v>87</v>
      </c>
      <c r="C40" s="66"/>
      <c r="J40" s="1" t="s">
        <v>88</v>
      </c>
      <c r="K40" s="2" t="n">
        <v>1</v>
      </c>
      <c r="P40" s="27"/>
      <c r="Q40" s="62"/>
      <c r="R40" s="63"/>
    </row>
    <row r="41" customFormat="false" ht="15" hidden="false" customHeight="false" outlineLevel="0" collapsed="false">
      <c r="B41" s="29" t="s">
        <v>26</v>
      </c>
      <c r="C41" s="67" t="n">
        <v>0.56730853766308</v>
      </c>
      <c r="J41" s="1" t="s">
        <v>89</v>
      </c>
      <c r="K41" s="68" t="n">
        <v>0.02</v>
      </c>
      <c r="P41" s="27"/>
      <c r="Q41" s="24"/>
      <c r="R41" s="53"/>
    </row>
    <row r="42" customFormat="false" ht="15.75" hidden="false" customHeight="false" outlineLevel="0" collapsed="false">
      <c r="B42" s="27" t="s">
        <v>14</v>
      </c>
      <c r="C42" s="69" t="n">
        <v>0.25</v>
      </c>
      <c r="J42" s="1" t="s">
        <v>90</v>
      </c>
      <c r="K42" s="70" t="n">
        <v>0.032</v>
      </c>
      <c r="P42" s="45" t="s">
        <v>91</v>
      </c>
      <c r="Q42" s="71" t="n">
        <f aca="false">R36</f>
        <v>280066139.489101</v>
      </c>
      <c r="R42" s="57"/>
    </row>
    <row r="43" customFormat="false" ht="15" hidden="false" customHeight="false" outlineLevel="0" collapsed="false">
      <c r="B43" s="27" t="s">
        <v>39</v>
      </c>
      <c r="C43" s="69" t="n">
        <v>0.25</v>
      </c>
      <c r="J43" s="9" t="s">
        <v>92</v>
      </c>
      <c r="P43" s="24"/>
      <c r="Q43" s="24"/>
      <c r="R43" s="24"/>
    </row>
    <row r="44" customFormat="false" ht="15" hidden="false" customHeight="false" outlineLevel="0" collapsed="false">
      <c r="B44" s="27" t="s">
        <v>37</v>
      </c>
      <c r="C44" s="69" t="n">
        <v>0.25</v>
      </c>
      <c r="J44" s="1" t="s">
        <v>93</v>
      </c>
      <c r="K44" s="72" t="n">
        <v>0.85</v>
      </c>
      <c r="P44" s="24"/>
      <c r="Q44" s="24"/>
      <c r="R44" s="24"/>
    </row>
    <row r="45" customFormat="false" ht="15" hidden="false" customHeight="false" outlineLevel="0" collapsed="false">
      <c r="B45" s="27" t="s">
        <v>43</v>
      </c>
      <c r="C45" s="69" t="n">
        <v>0.25</v>
      </c>
      <c r="J45" s="1" t="s">
        <v>94</v>
      </c>
      <c r="K45" s="72" t="n">
        <v>0.5</v>
      </c>
      <c r="P45" s="24"/>
      <c r="Q45" s="24"/>
      <c r="R45" s="24"/>
    </row>
    <row r="46" customFormat="false" ht="15" hidden="false" customHeight="false" outlineLevel="0" collapsed="false">
      <c r="B46" s="27" t="s">
        <v>28</v>
      </c>
      <c r="C46" s="69" t="n">
        <v>0.2</v>
      </c>
      <c r="J46" s="1" t="s">
        <v>95</v>
      </c>
      <c r="K46" s="72" t="n">
        <v>0.5</v>
      </c>
      <c r="P46" s="24"/>
      <c r="Q46" s="24"/>
      <c r="R46" s="24"/>
    </row>
    <row r="47" customFormat="false" ht="15" hidden="false" customHeight="false" outlineLevel="0" collapsed="false">
      <c r="B47" s="27" t="s">
        <v>30</v>
      </c>
      <c r="C47" s="69" t="n">
        <v>0.2</v>
      </c>
      <c r="J47" s="1" t="s">
        <v>96</v>
      </c>
      <c r="K47" s="72" t="n">
        <v>0</v>
      </c>
      <c r="P47" s="24"/>
      <c r="Q47" s="24"/>
      <c r="R47" s="24"/>
    </row>
    <row r="48" customFormat="false" ht="15" hidden="false" customHeight="false" outlineLevel="0" collapsed="false">
      <c r="B48" s="27" t="s">
        <v>32</v>
      </c>
      <c r="C48" s="69" t="n">
        <v>0.2</v>
      </c>
      <c r="K48" s="72"/>
      <c r="P48" s="24"/>
      <c r="Q48" s="24"/>
      <c r="R48" s="24"/>
    </row>
    <row r="49" customFormat="false" ht="15" hidden="false" customHeight="false" outlineLevel="0" collapsed="false">
      <c r="B49" s="27" t="s">
        <v>31</v>
      </c>
      <c r="C49" s="69" t="n">
        <v>0.188940842633557</v>
      </c>
      <c r="K49" s="72"/>
      <c r="P49" s="24"/>
      <c r="Q49" s="24"/>
      <c r="R49" s="24"/>
    </row>
    <row r="50" customFormat="false" ht="15" hidden="false" customHeight="false" outlineLevel="0" collapsed="false">
      <c r="B50" s="27" t="s">
        <v>33</v>
      </c>
      <c r="C50" s="69" t="n">
        <v>0.188940842633557</v>
      </c>
      <c r="J50" s="9" t="s">
        <v>97</v>
      </c>
      <c r="P50" s="24"/>
      <c r="Q50" s="24"/>
      <c r="R50" s="24"/>
    </row>
    <row r="51" customFormat="false" ht="15" hidden="false" customHeight="false" outlineLevel="0" collapsed="false">
      <c r="B51" s="27" t="s">
        <v>29</v>
      </c>
      <c r="C51" s="69" t="n">
        <v>0.143262629818316</v>
      </c>
      <c r="J51" s="1" t="s">
        <v>98</v>
      </c>
      <c r="K51" s="2" t="n">
        <v>20</v>
      </c>
      <c r="P51" s="24"/>
      <c r="Q51" s="62"/>
      <c r="R51" s="24"/>
    </row>
    <row r="52" customFormat="false" ht="15" hidden="false" customHeight="false" outlineLevel="0" collapsed="false">
      <c r="B52" s="27" t="s">
        <v>48</v>
      </c>
      <c r="C52" s="69" t="n">
        <v>0.14264724850366</v>
      </c>
      <c r="J52" s="1" t="s">
        <v>99</v>
      </c>
      <c r="K52" s="2" t="n">
        <v>37</v>
      </c>
    </row>
    <row r="53" customFormat="false" ht="15" hidden="false" customHeight="false" outlineLevel="0" collapsed="false">
      <c r="B53" s="27" t="s">
        <v>41</v>
      </c>
      <c r="C53" s="69" t="n">
        <v>0.107352751496339</v>
      </c>
      <c r="J53" s="1" t="s">
        <v>100</v>
      </c>
      <c r="K53" s="14" t="n">
        <v>0.00116</v>
      </c>
    </row>
    <row r="54" customFormat="false" ht="15" hidden="false" customHeight="false" outlineLevel="0" collapsed="false">
      <c r="B54" s="27" t="s">
        <v>13</v>
      </c>
      <c r="C54" s="69" t="n">
        <v>0.0138239467080535</v>
      </c>
      <c r="J54" s="1" t="s">
        <v>101</v>
      </c>
      <c r="K54" s="2" t="n">
        <v>1</v>
      </c>
    </row>
    <row r="55" customFormat="false" ht="19.5" hidden="false" customHeight="false" outlineLevel="0" collapsed="false">
      <c r="B55" s="45" t="s">
        <v>23</v>
      </c>
      <c r="C55" s="73" t="n">
        <v>0.0138239467080535</v>
      </c>
      <c r="P55" s="6" t="s">
        <v>102</v>
      </c>
      <c r="Q55" s="6"/>
    </row>
    <row r="56" customFormat="false" ht="15" hidden="false" customHeight="false" outlineLevel="0" collapsed="false">
      <c r="C56" s="72"/>
      <c r="J56" s="1" t="s">
        <v>103</v>
      </c>
      <c r="K56" s="2" t="n">
        <v>0.13</v>
      </c>
    </row>
    <row r="57" customFormat="false" ht="16.5" hidden="false" customHeight="false" outlineLevel="0" collapsed="false">
      <c r="C57" s="72"/>
      <c r="J57" s="1" t="s">
        <v>104</v>
      </c>
      <c r="K57" s="2" t="n">
        <v>1</v>
      </c>
      <c r="M57" s="74"/>
      <c r="P57" s="75" t="s">
        <v>105</v>
      </c>
    </row>
    <row r="58" customFormat="false" ht="15.75" hidden="false" customHeight="false" outlineLevel="0" collapsed="false">
      <c r="B58" s="66" t="s">
        <v>106</v>
      </c>
      <c r="C58" s="66"/>
      <c r="P58" s="76" t="n">
        <f aca="false">Q42*K18</f>
        <v>42009920.9233652</v>
      </c>
    </row>
    <row r="59" customFormat="false" ht="15" hidden="false" customHeight="false" outlineLevel="0" collapsed="false">
      <c r="B59" s="29" t="s">
        <v>43</v>
      </c>
      <c r="C59" s="67" t="n">
        <v>0.249990896203308</v>
      </c>
      <c r="J59" s="1" t="s">
        <v>107</v>
      </c>
      <c r="K59" s="14" t="n">
        <v>0.000622</v>
      </c>
    </row>
    <row r="60" customFormat="false" ht="15" hidden="false" customHeight="false" outlineLevel="0" collapsed="false">
      <c r="B60" s="27" t="s">
        <v>62</v>
      </c>
      <c r="C60" s="69" t="n">
        <v>0.249980101245401</v>
      </c>
      <c r="J60" s="1" t="s">
        <v>108</v>
      </c>
      <c r="K60" s="2" t="n">
        <v>37</v>
      </c>
    </row>
    <row r="61" customFormat="false" ht="15" hidden="false" customHeight="false" outlineLevel="0" collapsed="false">
      <c r="B61" s="27" t="s">
        <v>47</v>
      </c>
      <c r="C61" s="69" t="n">
        <v>0.237557294776143</v>
      </c>
      <c r="J61" s="1" t="s">
        <v>109</v>
      </c>
      <c r="K61" s="2" t="n">
        <v>4</v>
      </c>
    </row>
    <row r="62" customFormat="false" ht="15.75" hidden="false" customHeight="false" outlineLevel="0" collapsed="false">
      <c r="B62" s="27" t="s">
        <v>67</v>
      </c>
      <c r="C62" s="69" t="n">
        <v>0.237550015232821</v>
      </c>
      <c r="J62" s="1" t="s">
        <v>101</v>
      </c>
      <c r="K62" s="2" t="n">
        <v>1</v>
      </c>
      <c r="P62" s="5" t="s">
        <v>110</v>
      </c>
    </row>
    <row r="63" customFormat="false" ht="30" hidden="false" customHeight="false" outlineLevel="0" collapsed="false">
      <c r="B63" s="27" t="s">
        <v>41</v>
      </c>
      <c r="C63" s="69" t="n">
        <v>0.221814021621271</v>
      </c>
      <c r="P63" s="29" t="s">
        <v>111</v>
      </c>
      <c r="Q63" s="48" t="s">
        <v>112</v>
      </c>
      <c r="R63" s="16" t="s">
        <v>113</v>
      </c>
      <c r="S63" s="17" t="s">
        <v>114</v>
      </c>
      <c r="T63" s="49" t="s">
        <v>115</v>
      </c>
    </row>
    <row r="64" customFormat="false" ht="15" hidden="false" customHeight="false" outlineLevel="0" collapsed="false">
      <c r="B64" s="27" t="s">
        <v>28</v>
      </c>
      <c r="C64" s="69" t="n">
        <v>0.200005819778084</v>
      </c>
      <c r="P64" s="27" t="n">
        <f aca="false">$V$5</f>
        <v>0</v>
      </c>
      <c r="Q64" s="22" t="n">
        <f aca="false">$W$5</f>
        <v>19000000000000</v>
      </c>
      <c r="R64" s="22" t="n">
        <f aca="false">IF(ISNUMBER(Q64),($K$27*Q64),("N/A"))</f>
        <v>3.933</v>
      </c>
      <c r="S64" s="22"/>
      <c r="T64" s="25" t="n">
        <f aca="false">SUM(S65:S78)</f>
        <v>7991.856</v>
      </c>
    </row>
    <row r="65" customFormat="false" ht="15" hidden="false" customHeight="false" outlineLevel="0" collapsed="false">
      <c r="B65" s="27" t="s">
        <v>30</v>
      </c>
      <c r="C65" s="69" t="n">
        <v>0.200005819778084</v>
      </c>
      <c r="J65" s="77" t="s">
        <v>116</v>
      </c>
      <c r="P65" s="27" t="n">
        <f aca="false">$V$6</f>
        <v>16</v>
      </c>
      <c r="Q65" s="22" t="n">
        <f aca="false">$W$6</f>
        <v>38000000000000</v>
      </c>
      <c r="R65" s="22" t="n">
        <f aca="false">IF(ISNUMBER(Q65),($K$27*Q65),("N/A"))</f>
        <v>7.866</v>
      </c>
      <c r="S65" s="22" t="n">
        <f aca="false">IF(ISNUMBER(R64),R64*$K$26,("N/A"))</f>
        <v>62.928</v>
      </c>
      <c r="T65" s="25"/>
    </row>
    <row r="66" customFormat="false" ht="15" hidden="false" customHeight="false" outlineLevel="0" collapsed="false">
      <c r="B66" s="27" t="s">
        <v>61</v>
      </c>
      <c r="C66" s="69" t="n">
        <v>0.199997184174299</v>
      </c>
      <c r="J66" s="78" t="s">
        <v>117</v>
      </c>
      <c r="P66" s="27" t="n">
        <f aca="false">$V$7</f>
        <v>32</v>
      </c>
      <c r="Q66" s="22" t="n">
        <f aca="false">$W$7</f>
        <v>76000000000000</v>
      </c>
      <c r="R66" s="22" t="n">
        <f aca="false">IF(ISNUMBER(Q66),($K$27*Q66),("N/A"))</f>
        <v>15.732</v>
      </c>
      <c r="S66" s="22" t="n">
        <f aca="false">IF(ISNUMBER(R65),R65*$K$26,("N/A"))</f>
        <v>125.856</v>
      </c>
      <c r="T66" s="53"/>
    </row>
    <row r="67" customFormat="false" ht="15.75" hidden="false" customHeight="false" outlineLevel="0" collapsed="false">
      <c r="B67" s="27" t="s">
        <v>48</v>
      </c>
      <c r="C67" s="69" t="n">
        <v>0.0281695945855391</v>
      </c>
      <c r="J67" s="74" t="s">
        <v>118</v>
      </c>
      <c r="K67" s="2" t="n">
        <v>0.1</v>
      </c>
      <c r="P67" s="27" t="n">
        <f aca="false">$V$8</f>
        <v>48</v>
      </c>
      <c r="Q67" s="22" t="n">
        <f aca="false">$W$8</f>
        <v>152000000000000</v>
      </c>
      <c r="R67" s="22" t="n">
        <f aca="false">IF(ISNUMBER(Q67),($K$27*Q67),("N/A"))</f>
        <v>31.464</v>
      </c>
      <c r="S67" s="22" t="n">
        <f aca="false">IF(ISNUMBER(R66),R66*$K$26,("N/A"))</f>
        <v>251.712</v>
      </c>
      <c r="T67" s="53"/>
    </row>
    <row r="68" customFormat="false" ht="15.75" hidden="false" customHeight="false" outlineLevel="0" collapsed="false">
      <c r="B68" s="27" t="s">
        <v>25</v>
      </c>
      <c r="C68" s="69" t="n">
        <v>0.0281634371999987</v>
      </c>
      <c r="J68" s="74" t="s">
        <v>119</v>
      </c>
      <c r="K68" s="2" t="n">
        <v>1</v>
      </c>
      <c r="P68" s="27" t="n">
        <f aca="false">$V$9</f>
        <v>64</v>
      </c>
      <c r="Q68" s="22" t="n">
        <f aca="false">$W$9</f>
        <v>304000000000000</v>
      </c>
      <c r="R68" s="22" t="n">
        <f aca="false">IF(ISNUMBER(Q68),($K$27*Q68),("N/A"))</f>
        <v>62.928</v>
      </c>
      <c r="S68" s="22" t="n">
        <f aca="false">IF(ISNUMBER(R67),R67*$K$26,("N/A"))</f>
        <v>503.424</v>
      </c>
      <c r="T68" s="53"/>
    </row>
    <row r="69" customFormat="false" ht="15.75" hidden="false" customHeight="false" outlineLevel="0" collapsed="false">
      <c r="B69" s="27" t="s">
        <v>27</v>
      </c>
      <c r="C69" s="69" t="n">
        <v>0.0281634371999987</v>
      </c>
      <c r="J69" s="74" t="s">
        <v>120</v>
      </c>
      <c r="K69" s="2" t="n">
        <v>0.2</v>
      </c>
      <c r="P69" s="27" t="n">
        <f aca="false">$V$10</f>
        <v>80</v>
      </c>
      <c r="Q69" s="22" t="n">
        <f aca="false">$W$10</f>
        <v>608000000000000</v>
      </c>
      <c r="R69" s="22" t="n">
        <f aca="false">IF(ISNUMBER(Q69),($K$27*Q69),("N/A"))</f>
        <v>125.856</v>
      </c>
      <c r="S69" s="22" t="n">
        <f aca="false">IF(ISNUMBER(R68),R68*$K$26,("N/A"))</f>
        <v>1006.848</v>
      </c>
      <c r="T69" s="53"/>
    </row>
    <row r="70" customFormat="false" ht="15.75" hidden="false" customHeight="false" outlineLevel="0" collapsed="false">
      <c r="B70" s="27" t="s">
        <v>31</v>
      </c>
      <c r="C70" s="69" t="n">
        <v>0.0225520085920447</v>
      </c>
      <c r="J70" s="74" t="s">
        <v>121</v>
      </c>
      <c r="K70" s="2" t="n">
        <v>0.5</v>
      </c>
      <c r="P70" s="27" t="n">
        <f aca="false">$V$11</f>
        <v>96</v>
      </c>
      <c r="Q70" s="22" t="n">
        <f aca="false">$W$11</f>
        <v>1216000000000000</v>
      </c>
      <c r="R70" s="22" t="n">
        <f aca="false">IF(ISNUMBER(Q70),($K$27*Q70),("N/A"))</f>
        <v>251.712</v>
      </c>
      <c r="S70" s="22" t="n">
        <f aca="false">IF(ISNUMBER(R69),R69*$K$26,("N/A"))</f>
        <v>2013.696</v>
      </c>
      <c r="T70" s="53"/>
    </row>
    <row r="71" customFormat="false" ht="16.5" hidden="false" customHeight="false" outlineLevel="0" collapsed="false">
      <c r="B71" s="45" t="s">
        <v>33</v>
      </c>
      <c r="C71" s="73" t="n">
        <v>0.0225520085920447</v>
      </c>
      <c r="J71" s="74" t="s">
        <v>122</v>
      </c>
      <c r="K71" s="2" t="n">
        <v>1</v>
      </c>
      <c r="P71" s="27" t="n">
        <f aca="false">$V$12</f>
        <v>106.301699036396</v>
      </c>
      <c r="Q71" s="22" t="str">
        <f aca="false">$W$12</f>
        <v>N/A</v>
      </c>
      <c r="R71" s="22" t="str">
        <f aca="false">IF(ISNUMBER(Q71),($K$27*Q71),("N/A"))</f>
        <v>N/A</v>
      </c>
      <c r="S71" s="22" t="n">
        <f aca="false">IF(ISNUMBER(R70),R70*$K$26,("N/A"))</f>
        <v>4027.392</v>
      </c>
      <c r="T71" s="53"/>
    </row>
    <row r="72" customFormat="false" ht="15.75" hidden="false" customHeight="false" outlineLevel="0" collapsed="false">
      <c r="J72" s="74"/>
      <c r="P72" s="27" t="n">
        <f aca="false">$V$13</f>
        <v>106.301699036396</v>
      </c>
      <c r="Q72" s="22" t="str">
        <f aca="false">$W$13</f>
        <v>N/A</v>
      </c>
      <c r="R72" s="22" t="str">
        <f aca="false">IF(ISNUMBER(Q72),($K$27*Q72),("N/A"))</f>
        <v>N/A</v>
      </c>
      <c r="S72" s="22" t="str">
        <f aca="false">IF(ISNUMBER(R71),R71*$K$26,("N/A"))</f>
        <v>N/A</v>
      </c>
      <c r="T72" s="53"/>
    </row>
    <row r="73" customFormat="false" ht="15.75" hidden="false" customHeight="false" outlineLevel="0" collapsed="false">
      <c r="J73" s="74"/>
      <c r="P73" s="27" t="n">
        <f aca="false">$V$14</f>
        <v>106.301699036396</v>
      </c>
      <c r="Q73" s="22" t="str">
        <f aca="false">$W$14</f>
        <v>N/A</v>
      </c>
      <c r="R73" s="22" t="str">
        <f aca="false">IF(ISNUMBER(Q73),($K$27*Q73),("N/A"))</f>
        <v>N/A</v>
      </c>
      <c r="S73" s="22" t="str">
        <f aca="false">IF(ISNUMBER(R72),R72*$K$26,("N/A"))</f>
        <v>N/A</v>
      </c>
      <c r="T73" s="53"/>
    </row>
    <row r="74" customFormat="false" ht="15.75" hidden="false" customHeight="false" outlineLevel="0" collapsed="false">
      <c r="J74" s="74"/>
      <c r="P74" s="27" t="n">
        <f aca="false">$V$15</f>
        <v>106.301699036396</v>
      </c>
      <c r="Q74" s="22" t="str">
        <f aca="false">$W$15</f>
        <v>N/A</v>
      </c>
      <c r="R74" s="22" t="str">
        <f aca="false">IF(ISNUMBER(Q74),($K$27*Q74),("N/A"))</f>
        <v>N/A</v>
      </c>
      <c r="S74" s="22" t="str">
        <f aca="false">IF(ISNUMBER(R73),R73*$K$26,("N/A"))</f>
        <v>N/A</v>
      </c>
      <c r="T74" s="53"/>
    </row>
    <row r="75" customFormat="false" ht="15.75" hidden="false" customHeight="false" outlineLevel="0" collapsed="false">
      <c r="J75" s="74"/>
      <c r="P75" s="27" t="n">
        <f aca="false">$V$16</f>
        <v>106.301699036396</v>
      </c>
      <c r="Q75" s="22" t="str">
        <f aca="false">$W$16</f>
        <v>N/A</v>
      </c>
      <c r="R75" s="22" t="str">
        <f aca="false">IF(ISNUMBER(Q75),($K$27*Q75),("N/A"))</f>
        <v>N/A</v>
      </c>
      <c r="S75" s="22" t="str">
        <f aca="false">IF(ISNUMBER(R74),R74*$K$26,("N/A"))</f>
        <v>N/A</v>
      </c>
      <c r="T75" s="53"/>
    </row>
    <row r="76" customFormat="false" ht="15.75" hidden="false" customHeight="false" outlineLevel="0" collapsed="false">
      <c r="J76" s="74"/>
      <c r="P76" s="27" t="n">
        <f aca="false">$V$17</f>
        <v>106.301699036396</v>
      </c>
      <c r="Q76" s="22" t="str">
        <f aca="false">$W$17</f>
        <v>N/A</v>
      </c>
      <c r="R76" s="22" t="str">
        <f aca="false">IF(ISNUMBER(Q76),($K$27*Q76),("N/A"))</f>
        <v>N/A</v>
      </c>
      <c r="S76" s="22" t="str">
        <f aca="false">IF(ISNUMBER(R75),R75*$K$26,("N/A"))</f>
        <v>N/A</v>
      </c>
      <c r="T76" s="53"/>
    </row>
    <row r="77" customFormat="false" ht="15.75" hidden="false" customHeight="false" outlineLevel="0" collapsed="false">
      <c r="J77" s="74"/>
      <c r="P77" s="27" t="n">
        <f aca="false">$V$18</f>
        <v>106.301699036396</v>
      </c>
      <c r="Q77" s="22" t="str">
        <f aca="false">$W$18</f>
        <v>N/A</v>
      </c>
      <c r="R77" s="22" t="str">
        <f aca="false">IF(ISNUMBER(Q77),($K$27*Q77),("N/A"))</f>
        <v>N/A</v>
      </c>
      <c r="S77" s="22" t="str">
        <f aca="false">IF(ISNUMBER(R76),R76*$K$26,("N/A"))</f>
        <v>N/A</v>
      </c>
      <c r="T77" s="53"/>
    </row>
    <row r="78" customFormat="false" ht="15.75" hidden="false" customHeight="false" outlineLevel="0" collapsed="false">
      <c r="J78" s="74" t="s">
        <v>123</v>
      </c>
      <c r="K78" s="2" t="n">
        <v>1</v>
      </c>
      <c r="P78" s="27" t="n">
        <f aca="false">$V$19</f>
        <v>106.301699036396</v>
      </c>
      <c r="Q78" s="22" t="str">
        <f aca="false">$W$19</f>
        <v>N/A</v>
      </c>
      <c r="R78" s="22" t="str">
        <f aca="false">IF(ISNUMBER(Q78),($K$27*Q78),("N/A"))</f>
        <v>N/A</v>
      </c>
      <c r="S78" s="22" t="str">
        <f aca="false">IF(ISNUMBER(R77),R77*$K$26,("N/A"))</f>
        <v>N/A</v>
      </c>
      <c r="T78" s="53"/>
    </row>
    <row r="79" customFormat="false" ht="30" hidden="false" customHeight="false" outlineLevel="0" collapsed="false">
      <c r="J79" s="74" t="s">
        <v>124</v>
      </c>
      <c r="K79" s="2" t="n">
        <v>1</v>
      </c>
      <c r="P79" s="54" t="s">
        <v>125</v>
      </c>
      <c r="Q79" s="59" t="s">
        <v>126</v>
      </c>
      <c r="R79" s="59" t="s">
        <v>127</v>
      </c>
      <c r="S79" s="81" t="s">
        <v>128</v>
      </c>
      <c r="T79" s="82" t="s">
        <v>129</v>
      </c>
    </row>
    <row r="80" customFormat="false" ht="15.75" hidden="false" customHeight="false" outlineLevel="0" collapsed="false">
      <c r="J80" s="74" t="s">
        <v>130</v>
      </c>
      <c r="K80" s="2" t="n">
        <v>0.1</v>
      </c>
      <c r="P80" s="21" t="n">
        <f aca="false">(U5*K27)*K14</f>
        <v>61354.8</v>
      </c>
      <c r="Q80" s="22" t="n">
        <f aca="false">T64+P80</f>
        <v>69346.656</v>
      </c>
      <c r="R80" s="28" t="n">
        <f aca="false">K39*K9</f>
        <v>534</v>
      </c>
      <c r="S80" s="51" t="n">
        <f aca="false">Q80/R80</f>
        <v>129.862651685393</v>
      </c>
      <c r="T80" s="83" t="n">
        <f aca="false">S80*K9</f>
        <v>2597253.03370787</v>
      </c>
    </row>
    <row r="81" customFormat="false" ht="15" hidden="false" customHeight="false" outlineLevel="0" collapsed="false">
      <c r="P81" s="27"/>
      <c r="Q81" s="24"/>
      <c r="R81" s="24"/>
      <c r="S81" s="22"/>
      <c r="T81" s="25" t="n">
        <f aca="false">Q80*180.156/3.2</f>
        <v>3904130.04948</v>
      </c>
    </row>
    <row r="82" customFormat="false" ht="15.75" hidden="false" customHeight="false" outlineLevel="0" collapsed="false">
      <c r="J82" s="74" t="s">
        <v>131</v>
      </c>
      <c r="P82" s="27" t="s">
        <v>132</v>
      </c>
      <c r="Q82" s="24"/>
      <c r="R82" s="24"/>
      <c r="S82" s="22"/>
      <c r="T82" s="53"/>
    </row>
    <row r="83" customFormat="false" ht="15.75" hidden="false" customHeight="false" outlineLevel="0" collapsed="false">
      <c r="J83" s="74" t="s">
        <v>133</v>
      </c>
      <c r="K83" s="2" t="n">
        <v>1</v>
      </c>
      <c r="P83" s="84" t="n">
        <f aca="false">(K32*N12)+(K33*N13)+(K34*N14)+(K35*N15)+(K36*N16)+(K37*N17)+(K38*N18)+(N11)</f>
        <v>1045.9724764</v>
      </c>
      <c r="Q83" s="2"/>
      <c r="R83" s="24"/>
      <c r="S83" s="22"/>
      <c r="T83" s="53"/>
    </row>
    <row r="84" customFormat="false" ht="15.75" hidden="false" customHeight="false" outlineLevel="0" collapsed="false">
      <c r="J84" s="74" t="s">
        <v>134</v>
      </c>
      <c r="K84" s="2" t="n">
        <v>1.2</v>
      </c>
      <c r="P84" s="27"/>
      <c r="Q84" s="24"/>
      <c r="R84" s="24"/>
      <c r="S84" s="22"/>
      <c r="T84" s="53"/>
    </row>
    <row r="85" customFormat="false" ht="15.75" hidden="false" customHeight="false" outlineLevel="0" collapsed="false">
      <c r="J85" s="74" t="s">
        <v>135</v>
      </c>
      <c r="K85" s="2" t="n">
        <v>0.8</v>
      </c>
      <c r="P85" s="27" t="s">
        <v>136</v>
      </c>
      <c r="Q85" s="24"/>
      <c r="R85" s="24"/>
      <c r="S85" s="22"/>
      <c r="T85" s="53"/>
    </row>
    <row r="86" customFormat="false" ht="15.75" hidden="false" customHeight="false" outlineLevel="0" collapsed="false">
      <c r="J86" s="74" t="s">
        <v>137</v>
      </c>
      <c r="K86" s="2" t="n">
        <v>1.5</v>
      </c>
      <c r="P86" s="85" t="n">
        <f aca="false">T80*Q31</f>
        <v>31208303582.7857</v>
      </c>
      <c r="Q86" s="24"/>
      <c r="R86" s="24"/>
      <c r="S86" s="22"/>
      <c r="T86" s="53"/>
    </row>
    <row r="87" customFormat="false" ht="15.75" hidden="false" customHeight="false" outlineLevel="0" collapsed="false">
      <c r="B87" s="86"/>
      <c r="J87" s="74" t="s">
        <v>138</v>
      </c>
      <c r="K87" s="2" t="n">
        <v>1.4</v>
      </c>
      <c r="P87" s="27" t="s">
        <v>139</v>
      </c>
      <c r="Q87" s="24"/>
      <c r="R87" s="24"/>
      <c r="S87" s="22"/>
      <c r="T87" s="53"/>
    </row>
    <row r="88" customFormat="false" ht="16.5" hidden="false" customHeight="false" outlineLevel="0" collapsed="false">
      <c r="J88" s="74" t="s">
        <v>140</v>
      </c>
      <c r="K88" s="2" t="n">
        <v>1.25</v>
      </c>
      <c r="P88" s="87" t="n">
        <f aca="false">P86*P83</f>
        <v>32643026582729.3</v>
      </c>
      <c r="Q88" s="43"/>
      <c r="R88" s="43"/>
      <c r="S88" s="42"/>
      <c r="T88" s="57"/>
    </row>
    <row r="90" customFormat="false" ht="16.5" hidden="false" customHeight="false" outlineLevel="0" collapsed="false">
      <c r="J90" s="88" t="s">
        <v>141</v>
      </c>
      <c r="P90" s="5" t="s">
        <v>142</v>
      </c>
    </row>
    <row r="91" customFormat="false" ht="30" hidden="false" customHeight="false" outlineLevel="0" collapsed="false">
      <c r="J91" s="74" t="s">
        <v>118</v>
      </c>
      <c r="K91" s="2" t="n">
        <v>0</v>
      </c>
      <c r="P91" s="15" t="s">
        <v>143</v>
      </c>
      <c r="Q91" s="16" t="s">
        <v>112</v>
      </c>
      <c r="R91" s="16" t="s">
        <v>144</v>
      </c>
      <c r="S91" s="17" t="s">
        <v>145</v>
      </c>
      <c r="T91" s="49" t="s">
        <v>146</v>
      </c>
    </row>
    <row r="92" customFormat="false" ht="15.75" hidden="false" customHeight="false" outlineLevel="0" collapsed="false">
      <c r="J92" s="74" t="s">
        <v>119</v>
      </c>
      <c r="K92" s="2" t="n">
        <v>0</v>
      </c>
      <c r="P92" s="27" t="n">
        <f aca="false">$V$5</f>
        <v>0</v>
      </c>
      <c r="Q92" s="22" t="n">
        <f aca="false">$W$5</f>
        <v>19000000000000</v>
      </c>
      <c r="R92" s="22" t="n">
        <f aca="false">IF(ISNUMBER(Q92),($K$28*Q92),("N/A"))</f>
        <v>0.342</v>
      </c>
      <c r="S92" s="22"/>
      <c r="T92" s="25" t="n">
        <f aca="false">SUM(S93:S106)</f>
        <v>694.944</v>
      </c>
    </row>
    <row r="93" customFormat="false" ht="15.75" hidden="false" customHeight="false" outlineLevel="0" collapsed="false">
      <c r="J93" s="74" t="s">
        <v>120</v>
      </c>
      <c r="K93" s="2" t="n">
        <v>0</v>
      </c>
      <c r="P93" s="27" t="n">
        <f aca="false">$V$6</f>
        <v>16</v>
      </c>
      <c r="Q93" s="22" t="n">
        <f aca="false">$W$6</f>
        <v>38000000000000</v>
      </c>
      <c r="R93" s="22" t="n">
        <f aca="false">IF(ISNUMBER(Q93),($K$28*Q93),("N/A"))</f>
        <v>0.684</v>
      </c>
      <c r="S93" s="22" t="n">
        <f aca="false">IF(ISNUMBER(R92),R92*$K$26,("N/A"))</f>
        <v>5.472</v>
      </c>
      <c r="T93" s="53"/>
    </row>
    <row r="94" customFormat="false" ht="15.75" hidden="false" customHeight="false" outlineLevel="0" collapsed="false">
      <c r="B94" s="86"/>
      <c r="J94" s="74" t="s">
        <v>121</v>
      </c>
      <c r="K94" s="2" t="n">
        <v>0</v>
      </c>
      <c r="P94" s="27" t="n">
        <f aca="false">$V$7</f>
        <v>32</v>
      </c>
      <c r="Q94" s="22" t="n">
        <f aca="false">$W$7</f>
        <v>76000000000000</v>
      </c>
      <c r="R94" s="22" t="n">
        <f aca="false">IF(ISNUMBER(Q94),($K$28*Q94),("N/A"))</f>
        <v>1.368</v>
      </c>
      <c r="S94" s="22" t="n">
        <f aca="false">IF(ISNUMBER(R93),R93*$K$26,("N/A"))</f>
        <v>10.944</v>
      </c>
      <c r="T94" s="53"/>
    </row>
    <row r="95" customFormat="false" ht="15.75" hidden="false" customHeight="false" outlineLevel="0" collapsed="false">
      <c r="B95" s="86"/>
      <c r="J95" s="74" t="s">
        <v>122</v>
      </c>
      <c r="K95" s="2" t="n">
        <v>0</v>
      </c>
      <c r="P95" s="27" t="n">
        <f aca="false">$V$8</f>
        <v>48</v>
      </c>
      <c r="Q95" s="22" t="n">
        <f aca="false">$W$8</f>
        <v>152000000000000</v>
      </c>
      <c r="R95" s="22" t="n">
        <f aca="false">IF(ISNUMBER(Q95),($K$28*Q95),("N/A"))</f>
        <v>2.736</v>
      </c>
      <c r="S95" s="22" t="n">
        <f aca="false">IF(ISNUMBER(R94),R94*$K$26,("N/A"))</f>
        <v>21.888</v>
      </c>
      <c r="T95" s="53"/>
    </row>
    <row r="96" customFormat="false" ht="15.75" hidden="false" customHeight="false" outlineLevel="0" collapsed="false">
      <c r="J96" s="74" t="s">
        <v>123</v>
      </c>
      <c r="K96" s="2" t="n">
        <v>0</v>
      </c>
      <c r="P96" s="27" t="n">
        <f aca="false">$V$9</f>
        <v>64</v>
      </c>
      <c r="Q96" s="22" t="n">
        <f aca="false">$W$9</f>
        <v>304000000000000</v>
      </c>
      <c r="R96" s="22" t="n">
        <f aca="false">IF(ISNUMBER(Q96),($K$28*Q96),("N/A"))</f>
        <v>5.472</v>
      </c>
      <c r="S96" s="22" t="n">
        <f aca="false">IF(ISNUMBER(R95),R95*$K$26,("N/A"))</f>
        <v>43.776</v>
      </c>
      <c r="T96" s="53"/>
    </row>
    <row r="97" customFormat="false" ht="15.75" hidden="false" customHeight="false" outlineLevel="0" collapsed="false">
      <c r="J97" s="74" t="s">
        <v>124</v>
      </c>
      <c r="K97" s="2" t="s">
        <v>147</v>
      </c>
      <c r="P97" s="27" t="n">
        <f aca="false">$V$10</f>
        <v>80</v>
      </c>
      <c r="Q97" s="22" t="n">
        <f aca="false">$W$10</f>
        <v>608000000000000</v>
      </c>
      <c r="R97" s="22" t="n">
        <f aca="false">IF(ISNUMBER(Q97),($K$28*Q97),("N/A"))</f>
        <v>10.944</v>
      </c>
      <c r="S97" s="22" t="n">
        <f aca="false">IF(ISNUMBER(R96),R96*$K$26,("N/A"))</f>
        <v>87.552</v>
      </c>
      <c r="T97" s="53"/>
    </row>
    <row r="98" customFormat="false" ht="15.75" hidden="false" customHeight="false" outlineLevel="0" collapsed="false">
      <c r="J98" s="74" t="s">
        <v>130</v>
      </c>
      <c r="K98" s="2" t="n">
        <v>0</v>
      </c>
      <c r="P98" s="27" t="n">
        <f aca="false">$V$11</f>
        <v>96</v>
      </c>
      <c r="Q98" s="22" t="n">
        <f aca="false">$W$11</f>
        <v>1216000000000000</v>
      </c>
      <c r="R98" s="22" t="n">
        <f aca="false">IF(ISNUMBER(Q98),($K$28*Q98),("N/A"))</f>
        <v>21.888</v>
      </c>
      <c r="S98" s="22" t="n">
        <f aca="false">IF(ISNUMBER(R97),R97*$K$26,("N/A"))</f>
        <v>175.104</v>
      </c>
      <c r="T98" s="53"/>
    </row>
    <row r="99" customFormat="false" ht="15" hidden="false" customHeight="false" outlineLevel="0" collapsed="false">
      <c r="P99" s="27" t="n">
        <f aca="false">$V$12</f>
        <v>106.301699036396</v>
      </c>
      <c r="Q99" s="22" t="str">
        <f aca="false">$W$12</f>
        <v>N/A</v>
      </c>
      <c r="R99" s="22" t="str">
        <f aca="false">IF(ISNUMBER(Q99),($K$28*Q99),("N/A"))</f>
        <v>N/A</v>
      </c>
      <c r="S99" s="22" t="n">
        <f aca="false">IF(ISNUMBER(R98),R98*$K$26,("N/A"))</f>
        <v>350.208</v>
      </c>
      <c r="T99" s="53"/>
    </row>
    <row r="100" customFormat="false" ht="15.75" hidden="false" customHeight="false" outlineLevel="0" collapsed="false">
      <c r="J100" s="88" t="s">
        <v>148</v>
      </c>
      <c r="P100" s="27" t="n">
        <f aca="false">$V$13</f>
        <v>106.301699036396</v>
      </c>
      <c r="Q100" s="22" t="str">
        <f aca="false">$W$13</f>
        <v>N/A</v>
      </c>
      <c r="R100" s="22" t="str">
        <f aca="false">IF(ISNUMBER(Q100),($K$28*Q100),("N/A"))</f>
        <v>N/A</v>
      </c>
      <c r="S100" s="22" t="str">
        <f aca="false">IF(ISNUMBER(R99),R99*$K$26,("N/A"))</f>
        <v>N/A</v>
      </c>
      <c r="T100" s="53"/>
    </row>
    <row r="101" customFormat="false" ht="15" hidden="false" customHeight="false" outlineLevel="0" collapsed="false">
      <c r="P101" s="27" t="n">
        <f aca="false">$V$14</f>
        <v>106.301699036396</v>
      </c>
      <c r="Q101" s="22" t="str">
        <f aca="false">$W$14</f>
        <v>N/A</v>
      </c>
      <c r="R101" s="22" t="str">
        <f aca="false">IF(ISNUMBER(Q101),($K$28*Q101),("N/A"))</f>
        <v>N/A</v>
      </c>
      <c r="S101" s="22" t="str">
        <f aca="false">IF(ISNUMBER(R100),R100*$K$26,("N/A"))</f>
        <v>N/A</v>
      </c>
      <c r="T101" s="53"/>
    </row>
    <row r="102" customFormat="false" ht="15" hidden="false" customHeight="false" outlineLevel="0" collapsed="false">
      <c r="J102" s="1" t="s">
        <v>149</v>
      </c>
      <c r="K102" s="72" t="n">
        <v>0.9</v>
      </c>
      <c r="P102" s="27" t="n">
        <f aca="false">$V$15</f>
        <v>106.301699036396</v>
      </c>
      <c r="Q102" s="22" t="str">
        <f aca="false">$W$15</f>
        <v>N/A</v>
      </c>
      <c r="R102" s="22" t="str">
        <f aca="false">IF(ISNUMBER(Q102),($K$28*Q102),("N/A"))</f>
        <v>N/A</v>
      </c>
      <c r="S102" s="22" t="str">
        <f aca="false">IF(ISNUMBER(R101),R101*$K$26,("N/A"))</f>
        <v>N/A</v>
      </c>
      <c r="T102" s="53"/>
    </row>
    <row r="103" customFormat="false" ht="15" hidden="false" customHeight="false" outlineLevel="0" collapsed="false">
      <c r="J103" s="1" t="s">
        <v>150</v>
      </c>
      <c r="K103" s="72" t="n">
        <v>0.05</v>
      </c>
      <c r="P103" s="27" t="n">
        <f aca="false">$V$16</f>
        <v>106.301699036396</v>
      </c>
      <c r="Q103" s="22" t="str">
        <f aca="false">$W$16</f>
        <v>N/A</v>
      </c>
      <c r="R103" s="22" t="str">
        <f aca="false">IF(ISNUMBER(Q103),($K$28*Q103),("N/A"))</f>
        <v>N/A</v>
      </c>
      <c r="S103" s="22" t="str">
        <f aca="false">IF(ISNUMBER(R102),R102*$K$26,("N/A"))</f>
        <v>N/A</v>
      </c>
      <c r="T103" s="53"/>
    </row>
    <row r="104" customFormat="false" ht="15" hidden="false" customHeight="false" outlineLevel="0" collapsed="false">
      <c r="J104" s="1" t="s">
        <v>151</v>
      </c>
      <c r="K104" s="2" t="n">
        <v>20</v>
      </c>
      <c r="P104" s="27" t="n">
        <f aca="false">$V$17</f>
        <v>106.301699036396</v>
      </c>
      <c r="Q104" s="22" t="str">
        <f aca="false">$W$17</f>
        <v>N/A</v>
      </c>
      <c r="R104" s="22" t="str">
        <f aca="false">IF(ISNUMBER(Q104),($K$28*Q104),("N/A"))</f>
        <v>N/A</v>
      </c>
      <c r="S104" s="22" t="str">
        <f aca="false">IF(ISNUMBER(R103),R103*$K$26,("N/A"))</f>
        <v>N/A</v>
      </c>
      <c r="T104" s="53"/>
    </row>
    <row r="105" customFormat="false" ht="15" hidden="false" customHeight="false" outlineLevel="0" collapsed="false">
      <c r="J105" s="1" t="s">
        <v>188</v>
      </c>
      <c r="K105" s="72" t="n">
        <v>0.15</v>
      </c>
      <c r="P105" s="27" t="n">
        <f aca="false">$V$18</f>
        <v>106.301699036396</v>
      </c>
      <c r="Q105" s="22" t="str">
        <f aca="false">$W$18</f>
        <v>N/A</v>
      </c>
      <c r="R105" s="22" t="str">
        <f aca="false">IF(ISNUMBER(Q105),($K$28*Q105),("N/A"))</f>
        <v>N/A</v>
      </c>
      <c r="S105" s="22" t="str">
        <f aca="false">IF(ISNUMBER(R104),R104*$K$26,("N/A"))</f>
        <v>N/A</v>
      </c>
      <c r="T105" s="53"/>
    </row>
    <row r="106" customFormat="false" ht="15" hidden="false" customHeight="false" outlineLevel="0" collapsed="false">
      <c r="P106" s="27" t="n">
        <f aca="false">$V$19</f>
        <v>106.301699036396</v>
      </c>
      <c r="Q106" s="22" t="str">
        <f aca="false">$W$19</f>
        <v>N/A</v>
      </c>
      <c r="R106" s="22" t="str">
        <f aca="false">IF(ISNUMBER(Q106),($K$28*Q106),("N/A"))</f>
        <v>N/A</v>
      </c>
      <c r="S106" s="22" t="str">
        <f aca="false">IF(ISNUMBER(R105),R105*$K$26,("N/A"))</f>
        <v>N/A</v>
      </c>
      <c r="T106" s="53"/>
    </row>
    <row r="107" customFormat="false" ht="30" hidden="false" customHeight="false" outlineLevel="0" collapsed="false">
      <c r="P107" s="89" t="s">
        <v>153</v>
      </c>
      <c r="Q107" s="90" t="s">
        <v>154</v>
      </c>
      <c r="R107" s="91" t="s">
        <v>155</v>
      </c>
      <c r="S107" s="81"/>
      <c r="T107" s="82"/>
    </row>
    <row r="108" customFormat="false" ht="15" hidden="false" customHeight="false" outlineLevel="0" collapsed="false">
      <c r="P108" s="21" t="n">
        <f aca="false">U5*K28*K14</f>
        <v>5335.2</v>
      </c>
      <c r="Q108" s="22" t="n">
        <f aca="false">T80*K40*K41/K42</f>
        <v>1623283.14606742</v>
      </c>
      <c r="R108" s="22" t="n">
        <f aca="false">P108+T92+Q108</f>
        <v>1629313.29006742</v>
      </c>
      <c r="S108" s="22"/>
      <c r="T108" s="53"/>
    </row>
    <row r="109" customFormat="false" ht="15" hidden="false" customHeight="false" outlineLevel="0" collapsed="false">
      <c r="P109" s="27"/>
      <c r="Q109" s="24"/>
      <c r="R109" s="24"/>
      <c r="S109" s="22"/>
      <c r="T109" s="53"/>
    </row>
    <row r="110" customFormat="false" ht="15" hidden="false" customHeight="false" outlineLevel="0" collapsed="false">
      <c r="P110" s="27"/>
      <c r="Q110" s="24"/>
      <c r="R110" s="24"/>
      <c r="S110" s="22"/>
      <c r="T110" s="53"/>
    </row>
    <row r="111" customFormat="false" ht="15" hidden="false" customHeight="false" outlineLevel="0" collapsed="false">
      <c r="P111" s="27"/>
      <c r="Q111" s="24"/>
      <c r="R111" s="24"/>
      <c r="S111" s="22"/>
      <c r="T111" s="53"/>
    </row>
    <row r="112" customFormat="false" ht="30" hidden="false" customHeight="false" outlineLevel="0" collapsed="false">
      <c r="P112" s="54" t="s">
        <v>156</v>
      </c>
      <c r="Q112" s="28"/>
      <c r="R112" s="24"/>
      <c r="S112" s="22"/>
      <c r="T112" s="53"/>
    </row>
    <row r="113" customFormat="false" ht="15" hidden="false" customHeight="false" outlineLevel="0" collapsed="false">
      <c r="P113" s="79" t="n">
        <f aca="false">(R108*Q31*K42)/1000</f>
        <v>626484.712923638</v>
      </c>
      <c r="Q113" s="24"/>
      <c r="R113" s="24"/>
      <c r="S113" s="22"/>
      <c r="T113" s="53"/>
    </row>
    <row r="114" customFormat="false" ht="15" hidden="false" customHeight="false" outlineLevel="0" collapsed="false">
      <c r="P114" s="27" t="s">
        <v>157</v>
      </c>
      <c r="Q114" s="24"/>
      <c r="R114" s="24"/>
      <c r="S114" s="22"/>
      <c r="T114" s="53"/>
    </row>
    <row r="115" customFormat="false" ht="15.75" hidden="false" customHeight="false" outlineLevel="0" collapsed="false">
      <c r="P115" s="87" t="n">
        <f aca="false">P113*N25</f>
        <v>25059388.5169455</v>
      </c>
      <c r="Q115" s="43"/>
      <c r="R115" s="43"/>
      <c r="S115" s="42"/>
      <c r="T115" s="57"/>
    </row>
    <row r="118" customFormat="false" ht="15.75" hidden="false" customHeight="false" outlineLevel="0" collapsed="false">
      <c r="P118" s="5" t="s">
        <v>158</v>
      </c>
    </row>
    <row r="119" customFormat="false" ht="30" hidden="false" customHeight="false" outlineLevel="0" collapsed="false">
      <c r="P119" s="15" t="s">
        <v>159</v>
      </c>
      <c r="Q119" s="49" t="s">
        <v>160</v>
      </c>
    </row>
    <row r="120" customFormat="false" ht="15" hidden="false" customHeight="false" outlineLevel="0" collapsed="false">
      <c r="P120" s="92" t="n">
        <f aca="false">(0.09*N28+6.78)/100</f>
        <v>0.071553</v>
      </c>
      <c r="Q120" s="63" t="n">
        <f aca="false">(N29/K44)/100</f>
        <v>0.0167058823529412</v>
      </c>
    </row>
    <row r="121" customFormat="false" ht="15" hidden="false" customHeight="false" outlineLevel="0" collapsed="false">
      <c r="P121" s="27"/>
      <c r="Q121" s="53"/>
    </row>
    <row r="122" customFormat="false" ht="15" hidden="false" customHeight="false" outlineLevel="0" collapsed="false">
      <c r="P122" s="27"/>
      <c r="Q122" s="53"/>
    </row>
    <row r="123" customFormat="false" ht="15" hidden="false" customHeight="false" outlineLevel="0" collapsed="false">
      <c r="P123" s="27" t="s">
        <v>161</v>
      </c>
      <c r="Q123" s="53"/>
    </row>
    <row r="124" customFormat="false" ht="15.75" hidden="false" customHeight="false" outlineLevel="0" collapsed="false">
      <c r="P124" s="87" t="n">
        <f aca="false">(P120*K46) + (Q120*K45)</f>
        <v>0.0441294411764706</v>
      </c>
      <c r="Q124" s="57"/>
    </row>
    <row r="127" customFormat="false" ht="15.75" hidden="false" customHeight="false" outlineLevel="0" collapsed="false">
      <c r="P127" s="5" t="s">
        <v>162</v>
      </c>
    </row>
    <row r="128" customFormat="false" ht="30" hidden="false" customHeight="false" outlineLevel="0" collapsed="false">
      <c r="P128" s="15" t="s">
        <v>163</v>
      </c>
      <c r="Q128" s="16" t="s">
        <v>164</v>
      </c>
      <c r="R128" s="49" t="s">
        <v>165</v>
      </c>
    </row>
    <row r="129" customFormat="false" ht="15.75" hidden="false" customHeight="false" outlineLevel="0" collapsed="false">
      <c r="A129" s="74"/>
      <c r="P129" s="85" t="n">
        <f aca="false">((P86*K40)*(K52-K51)*K53)/K54</f>
        <v>615427746.652533</v>
      </c>
      <c r="Q129" s="28" t="n">
        <f aca="false">(R108*Q31*K56)/K57</f>
        <v>2545094146.25228</v>
      </c>
      <c r="R129" s="93" t="n">
        <f aca="false">K11*(K60-K61)*K59/K62</f>
        <v>2483646</v>
      </c>
    </row>
    <row r="130" customFormat="false" ht="15" hidden="false" customHeight="false" outlineLevel="0" collapsed="false">
      <c r="P130" s="27"/>
      <c r="Q130" s="24"/>
      <c r="R130" s="53"/>
    </row>
    <row r="131" customFormat="false" ht="15" hidden="false" customHeight="false" outlineLevel="0" collapsed="false">
      <c r="P131" s="27"/>
      <c r="Q131" s="24"/>
      <c r="R131" s="53"/>
    </row>
    <row r="132" customFormat="false" ht="15" hidden="false" customHeight="false" outlineLevel="0" collapsed="false">
      <c r="P132" s="27" t="s">
        <v>166</v>
      </c>
      <c r="Q132" s="24"/>
      <c r="R132" s="53"/>
    </row>
    <row r="133" customFormat="false" ht="15" hidden="false" customHeight="false" outlineLevel="0" collapsed="false">
      <c r="M133" s="2"/>
      <c r="P133" s="79" t="n">
        <f aca="false">P129+Q129+R129</f>
        <v>3163005538.90481</v>
      </c>
      <c r="Q133" s="24"/>
      <c r="R133" s="53"/>
    </row>
    <row r="134" customFormat="false" ht="15" hidden="false" customHeight="false" outlineLevel="0" collapsed="false">
      <c r="P134" s="27" t="s">
        <v>167</v>
      </c>
      <c r="Q134" s="24"/>
      <c r="R134" s="53"/>
    </row>
    <row r="135" customFormat="false" ht="15.75" hidden="false" customHeight="false" outlineLevel="0" collapsed="false">
      <c r="P135" s="87" t="n">
        <f aca="false">P133*P124</f>
        <v>139581666.869951</v>
      </c>
      <c r="Q135" s="43"/>
      <c r="R135" s="57"/>
    </row>
    <row r="138" customFormat="false" ht="15.75" hidden="false" customHeight="false" outlineLevel="0" collapsed="false">
      <c r="P138" s="5" t="s">
        <v>168</v>
      </c>
    </row>
    <row r="139" customFormat="false" ht="30" hidden="false" customHeight="false" outlineLevel="0" collapsed="false">
      <c r="P139" s="15" t="s">
        <v>169</v>
      </c>
      <c r="Q139" s="49" t="s">
        <v>170</v>
      </c>
    </row>
    <row r="140" customFormat="false" ht="15" hidden="false" customHeight="false" outlineLevel="0" collapsed="false">
      <c r="P140" s="94" t="n">
        <f aca="false">((K67*K91)+(K68*K92)+(K93*K69)+(K94*K70)+(K71*K95)+(K96*K78)+(Q30*K79)+(K80*K98))</f>
        <v>359.79315548471</v>
      </c>
      <c r="Q140" s="53" t="n">
        <f aca="false">K83*K84*K85*K86*K87*K88</f>
        <v>2.52</v>
      </c>
    </row>
    <row r="141" customFormat="false" ht="15" hidden="false" customHeight="false" outlineLevel="0" collapsed="false">
      <c r="P141" s="27"/>
      <c r="Q141" s="53"/>
    </row>
    <row r="142" customFormat="false" ht="15" hidden="false" customHeight="false" outlineLevel="0" collapsed="false">
      <c r="P142" s="27" t="s">
        <v>168</v>
      </c>
      <c r="Q142" s="53"/>
    </row>
    <row r="143" customFormat="false" ht="15.75" hidden="false" customHeight="false" outlineLevel="0" collapsed="false">
      <c r="P143" s="95" t="n">
        <f aca="false">K15*Q140*N32*P140</f>
        <v>108653480.246279</v>
      </c>
      <c r="Q143" s="57"/>
    </row>
    <row r="146" customFormat="false" ht="15.75" hidden="false" customHeight="false" outlineLevel="0" collapsed="false">
      <c r="P146" s="5" t="s">
        <v>171</v>
      </c>
    </row>
    <row r="147" customFormat="false" ht="30" hidden="false" customHeight="false" outlineLevel="0" collapsed="false">
      <c r="P147" s="29" t="s">
        <v>172</v>
      </c>
      <c r="Q147" s="16" t="s">
        <v>173</v>
      </c>
      <c r="R147" s="16" t="s">
        <v>174</v>
      </c>
      <c r="S147" s="96" t="s">
        <v>175</v>
      </c>
    </row>
    <row r="148" customFormat="false" ht="15" hidden="false" customHeight="false" outlineLevel="0" collapsed="false">
      <c r="P148" s="79" t="n">
        <f aca="false">P86/1000</f>
        <v>31208303.5827857</v>
      </c>
      <c r="Q148" s="62" t="n">
        <f aca="false">N36*P148</f>
        <v>19661231.257155</v>
      </c>
      <c r="R148" s="62" t="n">
        <f aca="false">P148*N37</f>
        <v>15916234.8272207</v>
      </c>
      <c r="S148" s="63" t="n">
        <f aca="false">N38*P148</f>
        <v>17788733.0421878</v>
      </c>
    </row>
    <row r="149" customFormat="false" ht="15" hidden="false" customHeight="false" outlineLevel="0" collapsed="false">
      <c r="P149" s="27"/>
      <c r="Q149" s="24"/>
      <c r="R149" s="24"/>
      <c r="S149" s="25"/>
    </row>
    <row r="150" customFormat="false" ht="30" hidden="false" customHeight="false" outlineLevel="0" collapsed="false">
      <c r="P150" s="54" t="s">
        <v>176</v>
      </c>
      <c r="Q150" s="24"/>
      <c r="R150" s="24"/>
      <c r="S150" s="25"/>
    </row>
    <row r="151" customFormat="false" ht="15.75" hidden="false" customHeight="false" outlineLevel="0" collapsed="false">
      <c r="P151" s="87" t="n">
        <f aca="false">Q148+R148+S148</f>
        <v>53366199.1265635</v>
      </c>
      <c r="Q151" s="43"/>
      <c r="R151" s="43"/>
      <c r="S151" s="44"/>
    </row>
    <row r="154" customFormat="false" ht="15.75" hidden="false" customHeight="false" outlineLevel="0" collapsed="false">
      <c r="P154" s="5" t="s">
        <v>177</v>
      </c>
    </row>
    <row r="155" customFormat="false" ht="15" hidden="false" customHeight="false" outlineLevel="0" collapsed="false">
      <c r="P155" s="29" t="s">
        <v>178</v>
      </c>
      <c r="Q155" s="48" t="s">
        <v>179</v>
      </c>
      <c r="R155" s="48" t="s">
        <v>180</v>
      </c>
      <c r="S155" s="97" t="s">
        <v>181</v>
      </c>
      <c r="T155" s="58" t="s">
        <v>182</v>
      </c>
    </row>
    <row r="156" customFormat="false" ht="15" hidden="false" customHeight="false" outlineLevel="0" collapsed="false">
      <c r="P156" s="98" t="n">
        <f aca="false">1-K102</f>
        <v>0.1</v>
      </c>
      <c r="Q156" s="72" t="n">
        <f aca="false">K102*K103+P156*K105</f>
        <v>0.06</v>
      </c>
      <c r="R156" s="99" t="n">
        <f aca="false">D4</f>
        <v>280066139.489101</v>
      </c>
      <c r="S156" s="62" t="n">
        <f aca="false">R156*K102</f>
        <v>252059525.540191</v>
      </c>
      <c r="T156" s="100" t="n">
        <f aca="false">R156*P156</f>
        <v>28006613.9489101</v>
      </c>
    </row>
    <row r="157" customFormat="false" ht="15" hidden="false" customHeight="false" outlineLevel="0" collapsed="false">
      <c r="P157" s="27"/>
      <c r="Q157" s="24"/>
      <c r="R157" s="24"/>
      <c r="S157" s="22"/>
      <c r="T157" s="53"/>
    </row>
    <row r="158" customFormat="false" ht="29.25" hidden="false" customHeight="true" outlineLevel="0" collapsed="false">
      <c r="P158" s="27" t="s">
        <v>183</v>
      </c>
      <c r="Q158" s="24" t="s">
        <v>184</v>
      </c>
      <c r="R158" s="24" t="s">
        <v>185</v>
      </c>
      <c r="S158" s="81" t="s">
        <v>186</v>
      </c>
      <c r="T158" s="53"/>
    </row>
    <row r="159" customFormat="false" ht="15" hidden="false" customHeight="false" outlineLevel="0" collapsed="false">
      <c r="P159" s="101" t="n">
        <f aca="false">(K103*(1+K103)^K104)/((1+K103)^K104-1)</f>
        <v>0.0802425871906913</v>
      </c>
      <c r="Q159" s="62" t="n">
        <f aca="false">S156*P159</f>
        <v>20225908.4554031</v>
      </c>
      <c r="R159" s="28" t="n">
        <f aca="false">(K105*(1+K105)^K104)/((1+K105)^K104-1)</f>
        <v>0.159761470405744</v>
      </c>
      <c r="S159" s="62" t="n">
        <f aca="false">T156*R159</f>
        <v>4474377.8255639</v>
      </c>
      <c r="T159" s="53"/>
    </row>
    <row r="160" customFormat="false" ht="15" hidden="false" customHeight="false" outlineLevel="0" collapsed="false">
      <c r="P160" s="27"/>
      <c r="Q160" s="24"/>
      <c r="R160" s="24"/>
      <c r="S160" s="22"/>
      <c r="T160" s="53"/>
    </row>
    <row r="161" customFormat="false" ht="30" hidden="false" customHeight="false" outlineLevel="0" collapsed="false">
      <c r="P161" s="54" t="s">
        <v>189</v>
      </c>
      <c r="Q161" s="24"/>
      <c r="R161" s="24"/>
      <c r="S161" s="22"/>
      <c r="T161" s="53"/>
    </row>
    <row r="162" customFormat="false" ht="15.75" hidden="false" customHeight="false" outlineLevel="0" collapsed="false">
      <c r="P162" s="87" t="n">
        <f aca="false">Q159+S159</f>
        <v>24700286.280967</v>
      </c>
      <c r="Q162" s="43"/>
      <c r="R162" s="43"/>
      <c r="S162" s="42"/>
      <c r="T162" s="57"/>
    </row>
    <row r="164" customFormat="false" ht="15" hidden="false" customHeight="false" outlineLevel="0" collapsed="false">
      <c r="P164" s="102"/>
    </row>
  </sheetData>
  <mergeCells count="8">
    <mergeCell ref="P2:Q2"/>
    <mergeCell ref="V4:W4"/>
    <mergeCell ref="B5:C5"/>
    <mergeCell ref="B6:C6"/>
    <mergeCell ref="B24:C24"/>
    <mergeCell ref="B40:C40"/>
    <mergeCell ref="P55:Q55"/>
    <mergeCell ref="B58:C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164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4" topLeftCell="A5" activePane="bottomLeft" state="frozen"/>
      <selection pane="topLeft" activeCell="J1" activeCellId="0" sqref="J1"/>
      <selection pane="bottom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.57"/>
    <col collapsed="false" customWidth="true" hidden="false" outlineLevel="0" max="5" min="4" style="0" width="22"/>
    <col collapsed="false" customWidth="true" hidden="false" outlineLevel="0" max="6" min="6" style="0" width="31.71"/>
    <col collapsed="false" customWidth="true" hidden="false" outlineLevel="0" max="7" min="7" style="0" width="20.71"/>
    <col collapsed="false" customWidth="true" hidden="false" outlineLevel="0" max="8" min="8" style="0" width="30.71"/>
    <col collapsed="false" customWidth="true" hidden="false" outlineLevel="0" max="9" min="9" style="0" width="29.86"/>
    <col collapsed="false" customWidth="true" hidden="false" outlineLevel="0" max="10" min="10" style="1" width="48.71"/>
    <col collapsed="false" customWidth="true" hidden="false" outlineLevel="0" max="11" min="11" style="2" width="16.85"/>
    <col collapsed="false" customWidth="true" hidden="false" outlineLevel="0" max="13" min="13" style="1" width="48.71"/>
    <col collapsed="false" customWidth="true" hidden="false" outlineLevel="0" max="14" min="14" style="0" width="16.57"/>
    <col collapsed="false" customWidth="true" hidden="false" outlineLevel="0" max="15" min="15" style="0" width="9.14"/>
    <col collapsed="false" customWidth="true" hidden="false" outlineLevel="0" max="16" min="16" style="0" width="29.86"/>
    <col collapsed="false" customWidth="true" hidden="false" outlineLevel="0" max="17" min="17" style="0" width="28.3"/>
    <col collapsed="false" customWidth="true" hidden="false" outlineLevel="0" max="18" min="18" style="0" width="29.42"/>
    <col collapsed="false" customWidth="true" hidden="false" outlineLevel="0" max="19" min="19" style="3" width="21.71"/>
    <col collapsed="false" customWidth="true" hidden="false" outlineLevel="0" max="20" min="20" style="0" width="22.85"/>
    <col collapsed="false" customWidth="true" hidden="false" outlineLevel="0" max="21" min="21" style="0" width="22"/>
    <col collapsed="false" customWidth="true" hidden="false" outlineLevel="0" max="24" min="24" style="0" width="18.14"/>
  </cols>
  <sheetData>
    <row r="2" customFormat="false" ht="19.5" hidden="false" customHeight="false" outlineLevel="0" collapsed="false">
      <c r="B2" s="4"/>
      <c r="C2" s="4"/>
      <c r="J2" s="5" t="s">
        <v>0</v>
      </c>
      <c r="M2" s="5" t="s">
        <v>1</v>
      </c>
      <c r="P2" s="6" t="s">
        <v>2</v>
      </c>
      <c r="Q2" s="6"/>
    </row>
    <row r="3" customFormat="false" ht="113.25" hidden="false" customHeight="false" outlineLevel="0" collapsed="false">
      <c r="B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  <c r="M3" s="9" t="s">
        <v>11</v>
      </c>
      <c r="P3" s="5" t="s">
        <v>12</v>
      </c>
      <c r="AA3" s="4"/>
      <c r="AB3" s="4"/>
      <c r="AC3" s="4"/>
    </row>
    <row r="4" customFormat="false" ht="25.5" hidden="false" customHeight="true" outlineLevel="0" collapsed="false">
      <c r="B4" s="10" t="n">
        <f aca="false">(F4+P162)/K11</f>
        <v>5412.46926707415</v>
      </c>
      <c r="C4" s="11"/>
      <c r="D4" s="12" t="n">
        <f aca="false">Q42</f>
        <v>280066139.489101</v>
      </c>
      <c r="E4" s="12" t="n">
        <f aca="false">P162*K104</f>
        <v>494005725.619339</v>
      </c>
      <c r="F4" s="12" t="n">
        <f aca="false">P58+P88+P115+P135+P143+P151</f>
        <v>654884081029.691</v>
      </c>
      <c r="G4" s="12" t="n">
        <f aca="false">F4/K11</f>
        <v>5412.26513247679</v>
      </c>
      <c r="H4" s="12" t="n">
        <f aca="false">(D4/K104) +F4</f>
        <v>654898084336.666</v>
      </c>
      <c r="I4" s="12" t="n">
        <f aca="false">H4/K11</f>
        <v>5412.38086228649</v>
      </c>
      <c r="J4" s="1" t="s">
        <v>13</v>
      </c>
      <c r="K4" s="3" t="n">
        <v>95000000</v>
      </c>
      <c r="M4" s="1" t="s">
        <v>14</v>
      </c>
      <c r="N4" s="11" t="n">
        <v>50000</v>
      </c>
      <c r="P4" s="15" t="s">
        <v>15</v>
      </c>
      <c r="Q4" s="16" t="s">
        <v>16</v>
      </c>
      <c r="R4" s="16" t="s">
        <v>17</v>
      </c>
      <c r="S4" s="17" t="s">
        <v>18</v>
      </c>
      <c r="T4" s="16" t="s">
        <v>19</v>
      </c>
      <c r="U4" s="16" t="s">
        <v>20</v>
      </c>
      <c r="V4" s="18" t="s">
        <v>21</v>
      </c>
      <c r="W4" s="18"/>
      <c r="X4" s="19"/>
    </row>
    <row r="5" customFormat="false" ht="15" hidden="false" customHeight="false" outlineLevel="0" collapsed="false">
      <c r="B5" s="20" t="s">
        <v>22</v>
      </c>
      <c r="C5" s="20"/>
      <c r="J5" s="1" t="s">
        <v>23</v>
      </c>
      <c r="K5" s="2" t="n">
        <v>2</v>
      </c>
      <c r="N5" s="11"/>
      <c r="P5" s="21" t="n">
        <f aca="false">K4*1000*K5</f>
        <v>190000000000</v>
      </c>
      <c r="Q5" s="22" t="n">
        <f aca="false">K6*1000*K7</f>
        <v>19000000000000</v>
      </c>
      <c r="R5" s="23" t="n">
        <f aca="false">IF(Q5&lt; P5,("Invalid input"),((LN(Q5/P5))/(LN(2)))*K26)</f>
        <v>106.301699036396</v>
      </c>
      <c r="S5" s="23" t="n">
        <f aca="false">IF(Q5&lt;P5,("Invalid input"),((LN(U5/T5))/(LN(2)))*K26)</f>
        <v>106.301699036396</v>
      </c>
      <c r="T5" s="22" t="n">
        <f aca="false">IF(Q5&lt;P5,("Invalid input"),Q5)</f>
        <v>19000000000000</v>
      </c>
      <c r="U5" s="22" t="n">
        <f aca="false">K10*1000*K9</f>
        <v>1900000000000000</v>
      </c>
      <c r="V5" s="24" t="n">
        <v>0</v>
      </c>
      <c r="W5" s="25" t="n">
        <f aca="false">IF($U$5&gt;((2^(V5/$K$26))*$T$5),(2^(V5/$K$26))*$T$5, ("N/A"))</f>
        <v>19000000000000</v>
      </c>
      <c r="X5" s="22"/>
    </row>
    <row r="6" customFormat="false" ht="15" hidden="false" customHeight="true" outlineLevel="0" collapsed="false">
      <c r="B6" s="26" t="s">
        <v>24</v>
      </c>
      <c r="C6" s="26"/>
      <c r="J6" s="1" t="s">
        <v>25</v>
      </c>
      <c r="K6" s="2" t="n">
        <v>200</v>
      </c>
      <c r="P6" s="27"/>
      <c r="Q6" s="24"/>
      <c r="R6" s="28"/>
      <c r="S6" s="22"/>
      <c r="T6" s="24"/>
      <c r="U6" s="24"/>
      <c r="V6" s="28" t="n">
        <f aca="false">IF(V5+$K$26&lt;=$S$5,V5+$K$26,IF(V5=("N/A"),("N/A"),$S$5))</f>
        <v>16</v>
      </c>
      <c r="W6" s="25" t="n">
        <f aca="false">IF(($U$5)&gt;((2^(V6/$K$26))*$T$5),(2^(V6/$K$26))*$T$5, "N/A")</f>
        <v>38000000000000</v>
      </c>
      <c r="X6" s="24"/>
    </row>
    <row r="7" customFormat="false" ht="15" hidden="false" customHeight="false" outlineLevel="0" collapsed="false">
      <c r="B7" s="29" t="s">
        <v>26</v>
      </c>
      <c r="C7" s="30" t="n">
        <v>0.361963534320409</v>
      </c>
      <c r="J7" s="1" t="s">
        <v>27</v>
      </c>
      <c r="K7" s="3" t="n">
        <v>95000000</v>
      </c>
      <c r="P7" s="27"/>
      <c r="Q7" s="24"/>
      <c r="R7" s="28"/>
      <c r="S7" s="22"/>
      <c r="T7" s="24"/>
      <c r="U7" s="24"/>
      <c r="V7" s="28" t="n">
        <f aca="false">IF(V6+$K$26&lt;=$S$5,V6+$K$26,IF(V6=("N/A"),("N/A"),$S$5))</f>
        <v>32</v>
      </c>
      <c r="W7" s="25" t="n">
        <f aca="false">IF(($U$5)&gt;((2^(V7/$K$26))*$T$5),(2^(V7/$K$26))*$T$5, "N/A")</f>
        <v>76000000000000</v>
      </c>
      <c r="X7" s="24"/>
    </row>
    <row r="8" customFormat="false" ht="15" hidden="false" customHeight="false" outlineLevel="0" collapsed="false">
      <c r="B8" s="27" t="s">
        <v>28</v>
      </c>
      <c r="C8" s="31" t="n">
        <v>0.333333333333333</v>
      </c>
      <c r="J8" s="1" t="s">
        <v>29</v>
      </c>
      <c r="K8" s="2" t="n">
        <v>20</v>
      </c>
      <c r="P8" s="27"/>
      <c r="Q8" s="24"/>
      <c r="R8" s="28"/>
      <c r="S8" s="22"/>
      <c r="T8" s="24"/>
      <c r="U8" s="24"/>
      <c r="V8" s="28" t="n">
        <f aca="false">IF(V7+$K$26&lt;=$S$5,V7+$K$26,IF(V7=("N/A"),("N/A"),$S$5))</f>
        <v>48</v>
      </c>
      <c r="W8" s="25" t="n">
        <f aca="false">IF(($U$5)&gt;((2^(V8/$K$26))*$T$5),(2^(V8/$K$26))*$T$5, "N/A")</f>
        <v>152000000000000</v>
      </c>
      <c r="X8" s="24"/>
    </row>
    <row r="9" customFormat="false" ht="15" hidden="false" customHeight="false" outlineLevel="0" collapsed="false">
      <c r="B9" s="27" t="s">
        <v>30</v>
      </c>
      <c r="C9" s="31" t="n">
        <v>0.333333333333333</v>
      </c>
      <c r="J9" s="1" t="s">
        <v>31</v>
      </c>
      <c r="K9" s="2" t="n">
        <f aca="false">K8*1000</f>
        <v>20000</v>
      </c>
      <c r="P9" s="27"/>
      <c r="Q9" s="24"/>
      <c r="R9" s="28"/>
      <c r="S9" s="22"/>
      <c r="T9" s="24"/>
      <c r="U9" s="24"/>
      <c r="V9" s="28" t="n">
        <f aca="false">IF(V8+$K$26&lt;=$S$5,V8+$K$26,IF(V8=("N/A"),("N/A"),$S$5))</f>
        <v>64</v>
      </c>
      <c r="W9" s="25" t="n">
        <f aca="false">IF(($U$5)&gt;((2^(V9/$K$26))*$T$5),(2^(V9/$K$26))*$T$5, "N/A")</f>
        <v>304000000000000</v>
      </c>
      <c r="X9" s="24"/>
    </row>
    <row r="10" customFormat="false" ht="15" hidden="false" customHeight="false" outlineLevel="0" collapsed="false">
      <c r="B10" s="27" t="s">
        <v>32</v>
      </c>
      <c r="C10" s="31" t="n">
        <v>0.333333333333333</v>
      </c>
      <c r="J10" s="1" t="s">
        <v>33</v>
      </c>
      <c r="K10" s="14" t="n">
        <f aca="false">95000000</f>
        <v>95000000</v>
      </c>
      <c r="M10" s="9" t="s">
        <v>34</v>
      </c>
      <c r="P10" s="27"/>
      <c r="Q10" s="24"/>
      <c r="R10" s="28"/>
      <c r="S10" s="22"/>
      <c r="T10" s="24"/>
      <c r="U10" s="24"/>
      <c r="V10" s="28" t="n">
        <f aca="false">IF(V9+$K$26&lt;=$S$5,V9+$K$26,IF(V9=("N/A"),("N/A"),$S$5))</f>
        <v>80</v>
      </c>
      <c r="W10" s="25" t="n">
        <f aca="false">IF(($U$5)&gt;((2^(V10/$K$26))*$T$5),(2^(V10/$K$26))*$T$5, "N/A")</f>
        <v>608000000000000</v>
      </c>
      <c r="X10" s="24"/>
    </row>
    <row r="11" customFormat="false" ht="15" hidden="false" customHeight="false" outlineLevel="0" collapsed="false">
      <c r="B11" s="27" t="s">
        <v>31</v>
      </c>
      <c r="C11" s="31" t="n">
        <v>0.309570443988403</v>
      </c>
      <c r="J11" s="105" t="s">
        <v>35</v>
      </c>
      <c r="K11" s="105" t="n">
        <v>121000000</v>
      </c>
      <c r="M11" s="1" t="s">
        <v>36</v>
      </c>
      <c r="N11" s="33" t="n">
        <f aca="false">3.12</f>
        <v>3.12</v>
      </c>
      <c r="P11" s="27"/>
      <c r="Q11" s="24"/>
      <c r="R11" s="28"/>
      <c r="S11" s="22"/>
      <c r="T11" s="24"/>
      <c r="U11" s="24"/>
      <c r="V11" s="28" t="n">
        <f aca="false">IF(V10+$K$26&lt;=$S$5,V10+$K$26,IF(V10=("N/A"),("N/A"),$S$5))</f>
        <v>96</v>
      </c>
      <c r="W11" s="25" t="n">
        <f aca="false">IF(($U$5)&gt;((2^(V11/$K$26))*$T$5),(2^(V11/$K$26))*$T$5, "N/A")</f>
        <v>1216000000000000</v>
      </c>
      <c r="X11" s="24"/>
    </row>
    <row r="12" customFormat="false" ht="15" hidden="false" customHeight="false" outlineLevel="0" collapsed="false">
      <c r="B12" s="27" t="s">
        <v>33</v>
      </c>
      <c r="C12" s="31" t="n">
        <v>0.309570443988403</v>
      </c>
      <c r="F12" s="34"/>
      <c r="J12" s="1" t="s">
        <v>37</v>
      </c>
      <c r="K12" s="2" t="n">
        <v>1.29</v>
      </c>
      <c r="M12" s="1" t="s">
        <v>38</v>
      </c>
      <c r="N12" s="11" t="n">
        <f aca="false">7.84</f>
        <v>7.84</v>
      </c>
      <c r="P12" s="27"/>
      <c r="Q12" s="24"/>
      <c r="R12" s="28"/>
      <c r="S12" s="22"/>
      <c r="T12" s="24"/>
      <c r="U12" s="24"/>
      <c r="V12" s="28" t="n">
        <f aca="false">IF(V11+$K$26&lt;=$S$5,V11+$K$26,IF(V11=("N/A"),("N/A"),$S$5))</f>
        <v>106.301699036396</v>
      </c>
      <c r="W12" s="25" t="str">
        <f aca="false">IF(($U$5)&gt;((2^(V12/$K$26))*$T$5),(2^(V12/$K$26))*$T$5, "N/A")</f>
        <v>N/A</v>
      </c>
      <c r="X12" s="24"/>
    </row>
    <row r="13" customFormat="false" ht="15" hidden="false" customHeight="false" outlineLevel="0" collapsed="false">
      <c r="B13" s="27" t="s">
        <v>14</v>
      </c>
      <c r="C13" s="31" t="n">
        <v>0.25</v>
      </c>
      <c r="J13" s="1" t="s">
        <v>39</v>
      </c>
      <c r="K13" s="2" t="n">
        <v>2</v>
      </c>
      <c r="M13" s="1" t="s">
        <v>40</v>
      </c>
      <c r="N13" s="11" t="n">
        <f aca="false">0.01/2</f>
        <v>0.005</v>
      </c>
      <c r="P13" s="27"/>
      <c r="Q13" s="24"/>
      <c r="R13" s="24"/>
      <c r="S13" s="22"/>
      <c r="T13" s="24"/>
      <c r="U13" s="24"/>
      <c r="V13" s="28" t="n">
        <f aca="false">IF(V12+$K$26&lt;=$S$5,V12+$K$26,IF(V12=("N/A"),("N/A"),$S$5))</f>
        <v>106.301699036396</v>
      </c>
      <c r="W13" s="25" t="str">
        <f aca="false">IF(($U$5)&gt;((2^(V13/$K$26))*$T$5),(2^(V13/$K$26))*$T$5, "N/A")</f>
        <v>N/A</v>
      </c>
      <c r="X13" s="24"/>
    </row>
    <row r="14" customFormat="false" ht="15.75" hidden="false" customHeight="false" outlineLevel="0" collapsed="false">
      <c r="B14" s="27" t="s">
        <v>37</v>
      </c>
      <c r="C14" s="31" t="n">
        <v>0.25</v>
      </c>
      <c r="F14" s="2"/>
      <c r="J14" s="74" t="s">
        <v>41</v>
      </c>
      <c r="K14" s="2" t="n">
        <v>156</v>
      </c>
      <c r="M14" s="1" t="s">
        <v>42</v>
      </c>
      <c r="N14" s="11" t="n">
        <f aca="false">0.1</f>
        <v>0.1</v>
      </c>
      <c r="P14" s="27"/>
      <c r="Q14" s="24"/>
      <c r="R14" s="24"/>
      <c r="S14" s="22"/>
      <c r="T14" s="24"/>
      <c r="U14" s="24"/>
      <c r="V14" s="28" t="n">
        <f aca="false">IF(V13+$K$26&lt;=$S$5,V13+$K$26,IF(V13=("N/A"),("N/A"),$S$5))</f>
        <v>106.301699036396</v>
      </c>
      <c r="W14" s="25" t="str">
        <f aca="false">IF(($U$5)&gt;((2^(V14/$K$26))*$T$5),(2^(V14/$K$26))*$T$5, "N/A")</f>
        <v>N/A</v>
      </c>
      <c r="X14" s="24"/>
    </row>
    <row r="15" customFormat="false" ht="15.75" hidden="false" customHeight="false" outlineLevel="0" collapsed="false">
      <c r="B15" s="27" t="s">
        <v>43</v>
      </c>
      <c r="C15" s="31" t="n">
        <v>0.25</v>
      </c>
      <c r="J15" s="74" t="s">
        <v>32</v>
      </c>
      <c r="K15" s="2" t="n">
        <v>8760</v>
      </c>
      <c r="M15" s="1" t="s">
        <v>44</v>
      </c>
      <c r="N15" s="11" t="n">
        <f aca="false">340</f>
        <v>340</v>
      </c>
      <c r="P15" s="27"/>
      <c r="Q15" s="24"/>
      <c r="R15" s="24"/>
      <c r="S15" s="22"/>
      <c r="T15" s="24"/>
      <c r="U15" s="24"/>
      <c r="V15" s="28" t="n">
        <f aca="false">IF(V14+$K$26&lt;=$S$5,V14+$K$26,IF(V14=("N/A"),("N/A"),$S$5))</f>
        <v>106.301699036396</v>
      </c>
      <c r="W15" s="25" t="str">
        <f aca="false">IF(($U$5)&gt;((2^(V15/$K$26))*$T$5),(2^(V15/$K$26))*$T$5, "N/A")</f>
        <v>N/A</v>
      </c>
      <c r="X15" s="24"/>
    </row>
    <row r="16" customFormat="false" ht="15" hidden="false" customHeight="false" outlineLevel="0" collapsed="false">
      <c r="B16" s="27" t="s">
        <v>39</v>
      </c>
      <c r="C16" s="31" t="n">
        <v>0.25</v>
      </c>
      <c r="J16" s="1" t="s">
        <v>26</v>
      </c>
      <c r="K16" s="2" t="n">
        <v>0.6</v>
      </c>
      <c r="M16" s="1" t="s">
        <v>45</v>
      </c>
      <c r="N16" s="11" t="n">
        <f aca="false">400</f>
        <v>400</v>
      </c>
      <c r="P16" s="27"/>
      <c r="Q16" s="24"/>
      <c r="R16" s="24"/>
      <c r="S16" s="22"/>
      <c r="T16" s="24"/>
      <c r="U16" s="24"/>
      <c r="V16" s="28" t="n">
        <f aca="false">IF(V15+$K$26&lt;=$S$5,V15+$K$26,IF(V15=("N/A"),("N/A"),$S$5))</f>
        <v>106.301699036396</v>
      </c>
      <c r="W16" s="25" t="str">
        <f aca="false">IF(($U$5)&gt;((2^(V16/$K$26))*$T$5),(2^(V16/$K$26))*$T$5, "N/A")</f>
        <v>N/A</v>
      </c>
      <c r="X16" s="24"/>
    </row>
    <row r="17" customFormat="false" ht="15" hidden="false" customHeight="true" outlineLevel="0" collapsed="false">
      <c r="B17" s="27" t="s">
        <v>29</v>
      </c>
      <c r="C17" s="31" t="n">
        <v>0.15853364091535</v>
      </c>
      <c r="J17" s="1" t="s">
        <v>46</v>
      </c>
      <c r="K17" s="2" t="n">
        <v>0.5</v>
      </c>
      <c r="M17" s="1" t="s">
        <v>47</v>
      </c>
      <c r="N17" s="11" t="n">
        <v>0</v>
      </c>
      <c r="P17" s="106"/>
      <c r="Q17" s="107"/>
      <c r="R17" s="107"/>
      <c r="S17" s="22"/>
      <c r="T17" s="24"/>
      <c r="U17" s="24"/>
      <c r="V17" s="28" t="n">
        <f aca="false">IF(V16+$K$26&lt;=$S$5,V16+$K$26,IF(V16=("N/A"),("N/A"),$S$5))</f>
        <v>106.301699036396</v>
      </c>
      <c r="W17" s="25" t="str">
        <f aca="false">IF(($U$5)&gt;((2^(V17/$K$26))*$T$5),(2^(V17/$K$26))*$T$5, "N/A")</f>
        <v>N/A</v>
      </c>
      <c r="X17" s="24"/>
    </row>
    <row r="18" customFormat="false" ht="15" hidden="false" customHeight="false" outlineLevel="0" collapsed="false">
      <c r="B18" s="27" t="s">
        <v>48</v>
      </c>
      <c r="C18" s="31" t="n">
        <v>0.142647248503661</v>
      </c>
      <c r="J18" s="1" t="s">
        <v>49</v>
      </c>
      <c r="K18" s="2" t="n">
        <v>0.15</v>
      </c>
      <c r="M18" s="1" t="s">
        <v>50</v>
      </c>
      <c r="N18" s="11" t="n">
        <f aca="false">3236000</f>
        <v>3236000</v>
      </c>
      <c r="P18" s="106"/>
      <c r="Q18" s="107"/>
      <c r="R18" s="107"/>
      <c r="S18" s="22"/>
      <c r="T18" s="24"/>
      <c r="U18" s="24"/>
      <c r="V18" s="28" t="n">
        <f aca="false">IF(V17+$K$26&lt;=$S$5,V17+$K$26,IF(V17=("N/A"),("N/A"),$S$5))</f>
        <v>106.301699036396</v>
      </c>
      <c r="W18" s="25" t="str">
        <f aca="false">IF(($U$5)&gt;((2^(V18/$K$26))*$T$5),(2^(V18/$K$26))*$T$5, "N/A")</f>
        <v>N/A</v>
      </c>
      <c r="X18" s="24"/>
    </row>
    <row r="19" customFormat="false" ht="13.5" hidden="false" customHeight="true" outlineLevel="0" collapsed="false">
      <c r="B19" s="27" t="s">
        <v>41</v>
      </c>
      <c r="C19" s="31" t="n">
        <v>0.107352751496339</v>
      </c>
      <c r="K19" s="2" t="n">
        <v>20</v>
      </c>
      <c r="N19" s="11"/>
      <c r="P19" s="36" t="s">
        <v>51</v>
      </c>
      <c r="Q19" s="38" t="n">
        <f aca="false">S5</f>
        <v>106.301699036396</v>
      </c>
      <c r="R19" s="107"/>
      <c r="S19" s="22"/>
      <c r="T19" s="24"/>
      <c r="U19" s="24"/>
      <c r="V19" s="28" t="n">
        <f aca="false">IF(V18+$K$26&lt;=$S$5,V18+$K$26,IF(V18=("N/A"),("N/A"),$S$5))</f>
        <v>106.301699036396</v>
      </c>
      <c r="W19" s="25" t="str">
        <f aca="false">IF(($U$5)&gt;((2^(V19/$K$26))*$T$5),(2^(V19/$K$26))*$T$5, "N/A")</f>
        <v>N/A</v>
      </c>
      <c r="X19" s="24"/>
    </row>
    <row r="20" customFormat="false" ht="15.75" hidden="false" customHeight="false" outlineLevel="0" collapsed="false">
      <c r="B20" s="27" t="s">
        <v>13</v>
      </c>
      <c r="C20" s="31" t="n">
        <v>0.0178221670086974</v>
      </c>
      <c r="N20" s="11"/>
      <c r="P20" s="39" t="s">
        <v>52</v>
      </c>
      <c r="Q20" s="40" t="n">
        <f aca="false">Q19+K14</f>
        <v>262.301699036396</v>
      </c>
      <c r="R20" s="43"/>
      <c r="S20" s="42"/>
      <c r="T20" s="43"/>
      <c r="U20" s="43"/>
      <c r="V20" s="43"/>
      <c r="W20" s="44"/>
      <c r="X20" s="24"/>
    </row>
    <row r="21" customFormat="false" ht="15.75" hidden="false" customHeight="false" outlineLevel="0" collapsed="false">
      <c r="B21" s="45" t="s">
        <v>23</v>
      </c>
      <c r="C21" s="46" t="n">
        <v>0.0178221670086974</v>
      </c>
      <c r="N21" s="11"/>
      <c r="P21" s="47"/>
      <c r="Q21" s="28"/>
      <c r="R21" s="24"/>
      <c r="S21" s="22"/>
      <c r="T21" s="24"/>
      <c r="U21" s="24"/>
      <c r="V21" s="24"/>
      <c r="W21" s="22"/>
    </row>
    <row r="22" customFormat="false" ht="15" hidden="false" customHeight="false" outlineLevel="0" collapsed="false">
      <c r="N22" s="11"/>
      <c r="P22" s="47"/>
      <c r="Q22" s="28"/>
      <c r="R22" s="24"/>
      <c r="S22" s="22"/>
      <c r="T22" s="24"/>
      <c r="U22" s="24"/>
      <c r="V22" s="24"/>
      <c r="W22" s="22"/>
    </row>
    <row r="23" customFormat="false" ht="15.75" hidden="false" customHeight="false" outlineLevel="0" collapsed="false">
      <c r="J23" s="9" t="s">
        <v>53</v>
      </c>
      <c r="N23" s="11"/>
      <c r="P23" s="5" t="s">
        <v>54</v>
      </c>
      <c r="V23" s="24"/>
      <c r="W23" s="22"/>
    </row>
    <row r="24" customFormat="false" ht="30.75" hidden="false" customHeight="true" outlineLevel="0" collapsed="false">
      <c r="B24" s="26" t="s">
        <v>55</v>
      </c>
      <c r="C24" s="26"/>
      <c r="J24" s="1" t="s">
        <v>28</v>
      </c>
      <c r="K24" s="14" t="n">
        <v>5E-015</v>
      </c>
      <c r="N24" s="11"/>
      <c r="P24" s="15" t="s">
        <v>20</v>
      </c>
      <c r="Q24" s="16" t="s">
        <v>56</v>
      </c>
      <c r="R24" s="48" t="s">
        <v>57</v>
      </c>
      <c r="S24" s="17" t="s">
        <v>58</v>
      </c>
      <c r="T24" s="49" t="s">
        <v>59</v>
      </c>
    </row>
    <row r="25" customFormat="false" ht="15" hidden="false" customHeight="false" outlineLevel="0" collapsed="false">
      <c r="B25" s="29" t="s">
        <v>28</v>
      </c>
      <c r="C25" s="30" t="n">
        <v>0.33332362084795</v>
      </c>
      <c r="J25" s="1" t="s">
        <v>30</v>
      </c>
      <c r="K25" s="2" t="n">
        <v>1060</v>
      </c>
      <c r="M25" s="1" t="s">
        <v>60</v>
      </c>
      <c r="N25" s="11" t="n">
        <v>40</v>
      </c>
      <c r="P25" s="27" t="n">
        <f aca="false">K10*1000*K9</f>
        <v>1900000000000000</v>
      </c>
      <c r="Q25" s="50" t="n">
        <f aca="false">IF(P25*K24&lt;K8,(P25*K24),("exceeds bioreactor volume "))</f>
        <v>9.5</v>
      </c>
      <c r="R25" s="24" t="n">
        <f aca="false">Q25*K25</f>
        <v>10070</v>
      </c>
      <c r="S25" s="51" t="n">
        <f aca="false">K15/Q20</f>
        <v>33.3966574832766</v>
      </c>
      <c r="T25" s="52" t="n">
        <f aca="false">S25*R25</f>
        <v>336304.340856595</v>
      </c>
    </row>
    <row r="26" customFormat="false" ht="15" hidden="false" customHeight="false" outlineLevel="0" collapsed="false">
      <c r="B26" s="27" t="s">
        <v>30</v>
      </c>
      <c r="C26" s="31" t="n">
        <v>0.33332362084795</v>
      </c>
      <c r="J26" s="1" t="s">
        <v>48</v>
      </c>
      <c r="K26" s="2" t="n">
        <v>16</v>
      </c>
      <c r="P26" s="27"/>
      <c r="Q26" s="24"/>
      <c r="R26" s="24"/>
      <c r="S26" s="22"/>
      <c r="T26" s="53"/>
    </row>
    <row r="27" customFormat="false" ht="15" hidden="false" customHeight="false" outlineLevel="0" collapsed="false">
      <c r="B27" s="27" t="s">
        <v>61</v>
      </c>
      <c r="C27" s="31" t="n">
        <v>0.333309228174975</v>
      </c>
      <c r="J27" s="1" t="s">
        <v>62</v>
      </c>
      <c r="K27" s="14" t="n">
        <v>2.07E-013</v>
      </c>
      <c r="M27" s="9" t="s">
        <v>63</v>
      </c>
      <c r="P27" s="27"/>
      <c r="Q27" s="24"/>
      <c r="R27" s="24"/>
      <c r="S27" s="22"/>
      <c r="T27" s="53"/>
    </row>
    <row r="28" customFormat="false" ht="15" hidden="false" customHeight="false" outlineLevel="0" collapsed="false">
      <c r="B28" s="27" t="s">
        <v>43</v>
      </c>
      <c r="C28" s="31" t="n">
        <v>0.250005455289951</v>
      </c>
      <c r="J28" s="1" t="s">
        <v>64</v>
      </c>
      <c r="K28" s="14" t="n">
        <v>1.8E-014</v>
      </c>
      <c r="M28" s="1" t="s">
        <v>65</v>
      </c>
      <c r="N28" s="33" t="n">
        <v>4.17</v>
      </c>
      <c r="P28" s="27"/>
      <c r="Q28" s="24"/>
      <c r="R28" s="24"/>
      <c r="S28" s="22"/>
      <c r="T28" s="53"/>
    </row>
    <row r="29" customFormat="false" ht="15" hidden="false" customHeight="false" outlineLevel="0" collapsed="false">
      <c r="B29" s="27" t="s">
        <v>62</v>
      </c>
      <c r="C29" s="31" t="n">
        <v>0.249994660332044</v>
      </c>
      <c r="M29" s="1" t="s">
        <v>66</v>
      </c>
      <c r="N29" s="33" t="n">
        <v>1.42</v>
      </c>
      <c r="P29" s="27"/>
      <c r="Q29" s="24"/>
      <c r="R29" s="24"/>
      <c r="S29" s="22"/>
      <c r="T29" s="53"/>
    </row>
    <row r="30" customFormat="false" ht="30" hidden="false" customHeight="false" outlineLevel="0" collapsed="false">
      <c r="B30" s="27" t="s">
        <v>67</v>
      </c>
      <c r="C30" s="31" t="n">
        <v>0.237564574319464</v>
      </c>
      <c r="N30" s="33"/>
      <c r="P30" s="54" t="s">
        <v>68</v>
      </c>
      <c r="Q30" s="55" t="n">
        <f aca="false">K11/T25</f>
        <v>359.79315548471</v>
      </c>
      <c r="R30" s="24"/>
      <c r="S30" s="22"/>
      <c r="T30" s="53"/>
    </row>
    <row r="31" customFormat="false" ht="15.75" hidden="false" customHeight="false" outlineLevel="0" collapsed="false">
      <c r="B31" s="27" t="s">
        <v>47</v>
      </c>
      <c r="C31" s="31" t="n">
        <v>0.237557294776142</v>
      </c>
      <c r="J31" s="9" t="s">
        <v>69</v>
      </c>
      <c r="N31" s="33"/>
      <c r="P31" s="45" t="s">
        <v>70</v>
      </c>
      <c r="Q31" s="56" t="n">
        <f aca="false">Q30*S25</f>
        <v>12015.8887785501</v>
      </c>
      <c r="R31" s="43"/>
      <c r="S31" s="42"/>
      <c r="T31" s="57"/>
    </row>
    <row r="32" customFormat="false" ht="15.75" hidden="false" customHeight="false" outlineLevel="0" collapsed="false">
      <c r="B32" s="27" t="s">
        <v>41</v>
      </c>
      <c r="C32" s="31" t="n">
        <v>0.221828580707914</v>
      </c>
      <c r="J32" s="1" t="s">
        <v>71</v>
      </c>
      <c r="K32" s="14" t="n">
        <v>0.064</v>
      </c>
      <c r="M32" s="74" t="s">
        <v>72</v>
      </c>
      <c r="N32" s="33" t="n">
        <v>13.68</v>
      </c>
    </row>
    <row r="33" customFormat="false" ht="15.75" hidden="false" customHeight="false" outlineLevel="0" collapsed="false">
      <c r="B33" s="27" t="s">
        <v>25</v>
      </c>
      <c r="C33" s="31" t="n">
        <v>0.0569996039451294</v>
      </c>
      <c r="J33" s="1" t="s">
        <v>73</v>
      </c>
      <c r="K33" s="14" t="n">
        <v>0.543</v>
      </c>
      <c r="N33" s="33"/>
      <c r="P33" s="5" t="s">
        <v>74</v>
      </c>
    </row>
    <row r="34" customFormat="false" ht="15" hidden="false" customHeight="false" outlineLevel="0" collapsed="false">
      <c r="B34" s="27" t="s">
        <v>27</v>
      </c>
      <c r="C34" s="31" t="n">
        <v>0.0569996039451294</v>
      </c>
      <c r="J34" s="1" t="s">
        <v>75</v>
      </c>
      <c r="K34" s="14" t="n">
        <v>1.4E-005</v>
      </c>
      <c r="N34" s="33"/>
      <c r="P34" s="29" t="s">
        <v>76</v>
      </c>
      <c r="Q34" s="48"/>
      <c r="R34" s="58"/>
    </row>
    <row r="35" customFormat="false" ht="30" hidden="false" customHeight="false" outlineLevel="0" collapsed="false">
      <c r="B35" s="27" t="s">
        <v>31</v>
      </c>
      <c r="C35" s="31" t="n">
        <v>0.0375670387596748</v>
      </c>
      <c r="J35" s="1" t="s">
        <v>77</v>
      </c>
      <c r="K35" s="14" t="n">
        <v>0.0194</v>
      </c>
      <c r="M35" s="9" t="s">
        <v>78</v>
      </c>
      <c r="N35" s="33"/>
      <c r="P35" s="27" t="s">
        <v>79</v>
      </c>
      <c r="Q35" s="59" t="s">
        <v>80</v>
      </c>
      <c r="R35" s="60" t="s">
        <v>81</v>
      </c>
    </row>
    <row r="36" customFormat="false" ht="15" hidden="false" customHeight="false" outlineLevel="0" collapsed="false">
      <c r="B36" s="27" t="s">
        <v>33</v>
      </c>
      <c r="C36" s="31" t="n">
        <v>0.0375670387596748</v>
      </c>
      <c r="J36" s="1" t="s">
        <v>82</v>
      </c>
      <c r="K36" s="14" t="n">
        <v>0.0107</v>
      </c>
      <c r="M36" s="1" t="s">
        <v>83</v>
      </c>
      <c r="N36" s="33" t="n">
        <v>0.63</v>
      </c>
      <c r="P36" s="61" t="n">
        <f aca="false">Q30</f>
        <v>359.79315548471</v>
      </c>
      <c r="Q36" s="62" t="n">
        <f aca="false">P36* K12*N4*(K8^K16)</f>
        <v>140033069.744551</v>
      </c>
      <c r="R36" s="63" t="n">
        <f aca="false">Q36*K13</f>
        <v>280066139.489101</v>
      </c>
    </row>
    <row r="37" customFormat="false" ht="15.75" hidden="false" customHeight="false" outlineLevel="0" collapsed="false">
      <c r="B37" s="45" t="s">
        <v>48</v>
      </c>
      <c r="C37" s="46" t="n">
        <v>0.0281841536721815</v>
      </c>
      <c r="J37" s="1" t="s">
        <v>67</v>
      </c>
      <c r="K37" s="14" t="n">
        <v>0.0005</v>
      </c>
      <c r="M37" s="1" t="s">
        <v>84</v>
      </c>
      <c r="N37" s="33" t="n">
        <v>0.51</v>
      </c>
      <c r="P37" s="27"/>
      <c r="Q37" s="24"/>
      <c r="R37" s="53"/>
    </row>
    <row r="38" customFormat="false" ht="15" hidden="false" customHeight="false" outlineLevel="0" collapsed="false">
      <c r="C38" s="64"/>
      <c r="J38" s="1" t="s">
        <v>85</v>
      </c>
      <c r="K38" s="14" t="n">
        <v>2E-006</v>
      </c>
      <c r="M38" s="1" t="s">
        <v>86</v>
      </c>
      <c r="N38" s="33" t="n">
        <v>0.57</v>
      </c>
      <c r="P38" s="27"/>
      <c r="Q38" s="24"/>
      <c r="R38" s="53"/>
    </row>
    <row r="39" customFormat="false" ht="15" hidden="false" customHeight="false" outlineLevel="0" collapsed="false">
      <c r="C39" s="64"/>
      <c r="J39" s="1" t="s">
        <v>61</v>
      </c>
      <c r="K39" s="14" t="n">
        <v>0.0267</v>
      </c>
      <c r="P39" s="27"/>
      <c r="Q39" s="65"/>
      <c r="R39" s="60"/>
    </row>
    <row r="40" customFormat="false" ht="15.75" hidden="false" customHeight="false" outlineLevel="0" collapsed="false">
      <c r="B40" s="66" t="s">
        <v>87</v>
      </c>
      <c r="C40" s="66"/>
      <c r="J40" s="1" t="s">
        <v>88</v>
      </c>
      <c r="K40" s="2" t="n">
        <v>1</v>
      </c>
      <c r="P40" s="27"/>
      <c r="Q40" s="62"/>
      <c r="R40" s="63"/>
    </row>
    <row r="41" customFormat="false" ht="15" hidden="false" customHeight="false" outlineLevel="0" collapsed="false">
      <c r="B41" s="29" t="s">
        <v>26</v>
      </c>
      <c r="C41" s="67" t="n">
        <v>0.56730853766308</v>
      </c>
      <c r="J41" s="1" t="s">
        <v>89</v>
      </c>
      <c r="K41" s="68" t="n">
        <v>0.02</v>
      </c>
      <c r="P41" s="27"/>
      <c r="Q41" s="24"/>
      <c r="R41" s="53"/>
    </row>
    <row r="42" customFormat="false" ht="15.75" hidden="false" customHeight="false" outlineLevel="0" collapsed="false">
      <c r="B42" s="27" t="s">
        <v>14</v>
      </c>
      <c r="C42" s="69" t="n">
        <v>0.25</v>
      </c>
      <c r="J42" s="1" t="s">
        <v>90</v>
      </c>
      <c r="K42" s="70" t="n">
        <v>0.032</v>
      </c>
      <c r="P42" s="45" t="s">
        <v>91</v>
      </c>
      <c r="Q42" s="71" t="n">
        <f aca="false">R36</f>
        <v>280066139.489101</v>
      </c>
      <c r="R42" s="57"/>
    </row>
    <row r="43" customFormat="false" ht="15" hidden="false" customHeight="false" outlineLevel="0" collapsed="false">
      <c r="B43" s="27" t="s">
        <v>39</v>
      </c>
      <c r="C43" s="69" t="n">
        <v>0.25</v>
      </c>
      <c r="J43" s="9" t="s">
        <v>92</v>
      </c>
      <c r="P43" s="24"/>
      <c r="Q43" s="24"/>
      <c r="R43" s="24"/>
    </row>
    <row r="44" customFormat="false" ht="15" hidden="false" customHeight="false" outlineLevel="0" collapsed="false">
      <c r="B44" s="27" t="s">
        <v>37</v>
      </c>
      <c r="C44" s="69" t="n">
        <v>0.25</v>
      </c>
      <c r="J44" s="1" t="s">
        <v>93</v>
      </c>
      <c r="K44" s="72" t="n">
        <v>0.85</v>
      </c>
      <c r="P44" s="24"/>
      <c r="Q44" s="24"/>
      <c r="R44" s="24"/>
    </row>
    <row r="45" customFormat="false" ht="15" hidden="false" customHeight="false" outlineLevel="0" collapsed="false">
      <c r="B45" s="27" t="s">
        <v>43</v>
      </c>
      <c r="C45" s="69" t="n">
        <v>0.25</v>
      </c>
      <c r="J45" s="1" t="s">
        <v>94</v>
      </c>
      <c r="K45" s="72" t="n">
        <v>0.5</v>
      </c>
      <c r="P45" s="24"/>
      <c r="Q45" s="24"/>
      <c r="R45" s="24"/>
    </row>
    <row r="46" customFormat="false" ht="15" hidden="false" customHeight="false" outlineLevel="0" collapsed="false">
      <c r="B46" s="27" t="s">
        <v>28</v>
      </c>
      <c r="C46" s="69" t="n">
        <v>0.2</v>
      </c>
      <c r="J46" s="1" t="s">
        <v>95</v>
      </c>
      <c r="K46" s="72" t="n">
        <v>0.5</v>
      </c>
      <c r="P46" s="24"/>
      <c r="Q46" s="24"/>
      <c r="R46" s="24"/>
    </row>
    <row r="47" customFormat="false" ht="15" hidden="false" customHeight="false" outlineLevel="0" collapsed="false">
      <c r="B47" s="27" t="s">
        <v>30</v>
      </c>
      <c r="C47" s="69" t="n">
        <v>0.2</v>
      </c>
      <c r="J47" s="1" t="s">
        <v>96</v>
      </c>
      <c r="K47" s="72" t="n">
        <v>0</v>
      </c>
      <c r="P47" s="24"/>
      <c r="Q47" s="24"/>
      <c r="R47" s="24"/>
    </row>
    <row r="48" customFormat="false" ht="15" hidden="false" customHeight="false" outlineLevel="0" collapsed="false">
      <c r="B48" s="27" t="s">
        <v>32</v>
      </c>
      <c r="C48" s="69" t="n">
        <v>0.2</v>
      </c>
      <c r="K48" s="72"/>
      <c r="P48" s="24"/>
      <c r="Q48" s="24"/>
      <c r="R48" s="24"/>
    </row>
    <row r="49" customFormat="false" ht="15" hidden="false" customHeight="false" outlineLevel="0" collapsed="false">
      <c r="B49" s="27" t="s">
        <v>31</v>
      </c>
      <c r="C49" s="69" t="n">
        <v>0.188940842633557</v>
      </c>
      <c r="K49" s="72"/>
      <c r="P49" s="24"/>
      <c r="Q49" s="24"/>
      <c r="R49" s="24"/>
    </row>
    <row r="50" customFormat="false" ht="15" hidden="false" customHeight="false" outlineLevel="0" collapsed="false">
      <c r="B50" s="27" t="s">
        <v>33</v>
      </c>
      <c r="C50" s="69" t="n">
        <v>0.188940842633557</v>
      </c>
      <c r="J50" s="9" t="s">
        <v>97</v>
      </c>
      <c r="P50" s="24"/>
      <c r="Q50" s="24"/>
      <c r="R50" s="24"/>
    </row>
    <row r="51" customFormat="false" ht="15" hidden="false" customHeight="false" outlineLevel="0" collapsed="false">
      <c r="B51" s="27" t="s">
        <v>29</v>
      </c>
      <c r="C51" s="69" t="n">
        <v>0.143262629818316</v>
      </c>
      <c r="J51" s="1" t="s">
        <v>98</v>
      </c>
      <c r="K51" s="2" t="n">
        <v>20</v>
      </c>
      <c r="P51" s="24"/>
      <c r="Q51" s="62"/>
      <c r="R51" s="24"/>
    </row>
    <row r="52" customFormat="false" ht="15" hidden="false" customHeight="false" outlineLevel="0" collapsed="false">
      <c r="B52" s="27" t="s">
        <v>48</v>
      </c>
      <c r="C52" s="69" t="n">
        <v>0.14264724850366</v>
      </c>
      <c r="J52" s="1" t="s">
        <v>99</v>
      </c>
      <c r="K52" s="2" t="n">
        <v>37</v>
      </c>
    </row>
    <row r="53" customFormat="false" ht="15" hidden="false" customHeight="false" outlineLevel="0" collapsed="false">
      <c r="B53" s="27" t="s">
        <v>41</v>
      </c>
      <c r="C53" s="69" t="n">
        <v>0.107352751496339</v>
      </c>
      <c r="J53" s="1" t="s">
        <v>100</v>
      </c>
      <c r="K53" s="14" t="n">
        <v>0.00116</v>
      </c>
    </row>
    <row r="54" customFormat="false" ht="15" hidden="false" customHeight="false" outlineLevel="0" collapsed="false">
      <c r="B54" s="27" t="s">
        <v>13</v>
      </c>
      <c r="C54" s="69" t="n">
        <v>0.0138239467080535</v>
      </c>
      <c r="J54" s="1" t="s">
        <v>101</v>
      </c>
      <c r="K54" s="2" t="n">
        <v>1</v>
      </c>
    </row>
    <row r="55" customFormat="false" ht="19.5" hidden="false" customHeight="false" outlineLevel="0" collapsed="false">
      <c r="B55" s="45" t="s">
        <v>23</v>
      </c>
      <c r="C55" s="73" t="n">
        <v>0.0138239467080535</v>
      </c>
      <c r="P55" s="6" t="s">
        <v>102</v>
      </c>
      <c r="Q55" s="6"/>
    </row>
    <row r="56" customFormat="false" ht="15" hidden="false" customHeight="false" outlineLevel="0" collapsed="false">
      <c r="C56" s="72"/>
      <c r="J56" s="1" t="s">
        <v>103</v>
      </c>
      <c r="K56" s="2" t="n">
        <v>0.13</v>
      </c>
    </row>
    <row r="57" customFormat="false" ht="16.5" hidden="false" customHeight="false" outlineLevel="0" collapsed="false">
      <c r="C57" s="72"/>
      <c r="J57" s="1" t="s">
        <v>104</v>
      </c>
      <c r="K57" s="2" t="n">
        <v>1</v>
      </c>
      <c r="M57" s="74"/>
      <c r="P57" s="75" t="s">
        <v>105</v>
      </c>
    </row>
    <row r="58" customFormat="false" ht="15.75" hidden="false" customHeight="false" outlineLevel="0" collapsed="false">
      <c r="B58" s="66" t="s">
        <v>106</v>
      </c>
      <c r="C58" s="66"/>
      <c r="P58" s="76" t="n">
        <f aca="false">Q42*K18</f>
        <v>42009920.9233652</v>
      </c>
    </row>
    <row r="59" customFormat="false" ht="15" hidden="false" customHeight="false" outlineLevel="0" collapsed="false">
      <c r="B59" s="29" t="s">
        <v>43</v>
      </c>
      <c r="C59" s="67" t="n">
        <v>0.249990896203308</v>
      </c>
      <c r="J59" s="1" t="s">
        <v>107</v>
      </c>
      <c r="K59" s="14" t="n">
        <v>0.000622</v>
      </c>
    </row>
    <row r="60" customFormat="false" ht="15" hidden="false" customHeight="false" outlineLevel="0" collapsed="false">
      <c r="B60" s="27" t="s">
        <v>62</v>
      </c>
      <c r="C60" s="69" t="n">
        <v>0.249980101245401</v>
      </c>
      <c r="J60" s="1" t="s">
        <v>108</v>
      </c>
      <c r="K60" s="2" t="n">
        <v>37</v>
      </c>
    </row>
    <row r="61" customFormat="false" ht="15" hidden="false" customHeight="false" outlineLevel="0" collapsed="false">
      <c r="B61" s="27" t="s">
        <v>47</v>
      </c>
      <c r="C61" s="69" t="n">
        <v>0.237557294776143</v>
      </c>
      <c r="J61" s="1" t="s">
        <v>109</v>
      </c>
      <c r="K61" s="2" t="n">
        <v>4</v>
      </c>
    </row>
    <row r="62" customFormat="false" ht="15.75" hidden="false" customHeight="false" outlineLevel="0" collapsed="false">
      <c r="B62" s="27" t="s">
        <v>67</v>
      </c>
      <c r="C62" s="69" t="n">
        <v>0.237550015232821</v>
      </c>
      <c r="J62" s="1" t="s">
        <v>101</v>
      </c>
      <c r="K62" s="2" t="n">
        <v>1</v>
      </c>
      <c r="P62" s="5" t="s">
        <v>110</v>
      </c>
    </row>
    <row r="63" customFormat="false" ht="30" hidden="false" customHeight="false" outlineLevel="0" collapsed="false">
      <c r="B63" s="27" t="s">
        <v>41</v>
      </c>
      <c r="C63" s="69" t="n">
        <v>0.221814021621271</v>
      </c>
      <c r="P63" s="29" t="s">
        <v>111</v>
      </c>
      <c r="Q63" s="48" t="s">
        <v>112</v>
      </c>
      <c r="R63" s="16" t="s">
        <v>113</v>
      </c>
      <c r="S63" s="17" t="s">
        <v>114</v>
      </c>
      <c r="T63" s="49" t="s">
        <v>115</v>
      </c>
    </row>
    <row r="64" customFormat="false" ht="15" hidden="false" customHeight="false" outlineLevel="0" collapsed="false">
      <c r="B64" s="27" t="s">
        <v>28</v>
      </c>
      <c r="C64" s="69" t="n">
        <v>0.200005819778084</v>
      </c>
      <c r="P64" s="27" t="n">
        <f aca="false">$V$5</f>
        <v>0</v>
      </c>
      <c r="Q64" s="22" t="n">
        <f aca="false">$W$5</f>
        <v>19000000000000</v>
      </c>
      <c r="R64" s="22" t="n">
        <f aca="false">IF(ISNUMBER(Q64),($K$27*Q64),("N/A"))</f>
        <v>3.933</v>
      </c>
      <c r="S64" s="22"/>
      <c r="T64" s="25" t="n">
        <f aca="false">SUM(S65:S78)</f>
        <v>7991.856</v>
      </c>
    </row>
    <row r="65" customFormat="false" ht="15" hidden="false" customHeight="false" outlineLevel="0" collapsed="false">
      <c r="B65" s="27" t="s">
        <v>30</v>
      </c>
      <c r="C65" s="69" t="n">
        <v>0.200005819778084</v>
      </c>
      <c r="J65" s="77" t="s">
        <v>116</v>
      </c>
      <c r="P65" s="27" t="n">
        <f aca="false">$V$6</f>
        <v>16</v>
      </c>
      <c r="Q65" s="22" t="n">
        <f aca="false">$W$6</f>
        <v>38000000000000</v>
      </c>
      <c r="R65" s="22" t="n">
        <f aca="false">IF(ISNUMBER(Q65),($K$27*Q65),("N/A"))</f>
        <v>7.866</v>
      </c>
      <c r="S65" s="22" t="n">
        <f aca="false">IF(ISNUMBER(R64),R64*$K$26,("N/A"))</f>
        <v>62.928</v>
      </c>
      <c r="T65" s="25"/>
    </row>
    <row r="66" customFormat="false" ht="15" hidden="false" customHeight="false" outlineLevel="0" collapsed="false">
      <c r="B66" s="27" t="s">
        <v>61</v>
      </c>
      <c r="C66" s="69" t="n">
        <v>0.199997184174299</v>
      </c>
      <c r="J66" s="78" t="s">
        <v>117</v>
      </c>
      <c r="P66" s="27" t="n">
        <f aca="false">$V$7</f>
        <v>32</v>
      </c>
      <c r="Q66" s="22" t="n">
        <f aca="false">$W$7</f>
        <v>76000000000000</v>
      </c>
      <c r="R66" s="22" t="n">
        <f aca="false">IF(ISNUMBER(Q66),($K$27*Q66),("N/A"))</f>
        <v>15.732</v>
      </c>
      <c r="S66" s="22" t="n">
        <f aca="false">IF(ISNUMBER(R65),R65*$K$26,("N/A"))</f>
        <v>125.856</v>
      </c>
      <c r="T66" s="53"/>
    </row>
    <row r="67" customFormat="false" ht="15.75" hidden="false" customHeight="false" outlineLevel="0" collapsed="false">
      <c r="B67" s="27" t="s">
        <v>48</v>
      </c>
      <c r="C67" s="69" t="n">
        <v>0.0281695945855391</v>
      </c>
      <c r="J67" s="74" t="s">
        <v>118</v>
      </c>
      <c r="K67" s="2" t="n">
        <v>0.1</v>
      </c>
      <c r="P67" s="27" t="n">
        <f aca="false">$V$8</f>
        <v>48</v>
      </c>
      <c r="Q67" s="22" t="n">
        <f aca="false">$W$8</f>
        <v>152000000000000</v>
      </c>
      <c r="R67" s="22" t="n">
        <f aca="false">IF(ISNUMBER(Q67),($K$27*Q67),("N/A"))</f>
        <v>31.464</v>
      </c>
      <c r="S67" s="22" t="n">
        <f aca="false">IF(ISNUMBER(R66),R66*$K$26,("N/A"))</f>
        <v>251.712</v>
      </c>
      <c r="T67" s="53"/>
    </row>
    <row r="68" customFormat="false" ht="15.75" hidden="false" customHeight="false" outlineLevel="0" collapsed="false">
      <c r="B68" s="27" t="s">
        <v>25</v>
      </c>
      <c r="C68" s="69" t="n">
        <v>0.0281634371999987</v>
      </c>
      <c r="J68" s="74" t="s">
        <v>119</v>
      </c>
      <c r="K68" s="2" t="n">
        <v>1</v>
      </c>
      <c r="P68" s="27" t="n">
        <f aca="false">$V$9</f>
        <v>64</v>
      </c>
      <c r="Q68" s="22" t="n">
        <f aca="false">$W$9</f>
        <v>304000000000000</v>
      </c>
      <c r="R68" s="22" t="n">
        <f aca="false">IF(ISNUMBER(Q68),($K$27*Q68),("N/A"))</f>
        <v>62.928</v>
      </c>
      <c r="S68" s="22" t="n">
        <f aca="false">IF(ISNUMBER(R67),R67*$K$26,("N/A"))</f>
        <v>503.424</v>
      </c>
      <c r="T68" s="53"/>
    </row>
    <row r="69" customFormat="false" ht="15.75" hidden="false" customHeight="false" outlineLevel="0" collapsed="false">
      <c r="B69" s="27" t="s">
        <v>27</v>
      </c>
      <c r="C69" s="69" t="n">
        <v>0.0281634371999987</v>
      </c>
      <c r="J69" s="74" t="s">
        <v>120</v>
      </c>
      <c r="K69" s="2" t="n">
        <v>0.2</v>
      </c>
      <c r="P69" s="27" t="n">
        <f aca="false">$V$10</f>
        <v>80</v>
      </c>
      <c r="Q69" s="22" t="n">
        <f aca="false">$W$10</f>
        <v>608000000000000</v>
      </c>
      <c r="R69" s="22" t="n">
        <f aca="false">IF(ISNUMBER(Q69),($K$27*Q69),("N/A"))</f>
        <v>125.856</v>
      </c>
      <c r="S69" s="22" t="n">
        <f aca="false">IF(ISNUMBER(R68),R68*$K$26,("N/A"))</f>
        <v>1006.848</v>
      </c>
      <c r="T69" s="53"/>
    </row>
    <row r="70" customFormat="false" ht="15.75" hidden="false" customHeight="false" outlineLevel="0" collapsed="false">
      <c r="B70" s="27" t="s">
        <v>31</v>
      </c>
      <c r="C70" s="69" t="n">
        <v>0.0225520085920447</v>
      </c>
      <c r="J70" s="74" t="s">
        <v>121</v>
      </c>
      <c r="K70" s="2" t="n">
        <v>0.5</v>
      </c>
      <c r="P70" s="27" t="n">
        <f aca="false">$V$11</f>
        <v>96</v>
      </c>
      <c r="Q70" s="22" t="n">
        <f aca="false">$W$11</f>
        <v>1216000000000000</v>
      </c>
      <c r="R70" s="22" t="n">
        <f aca="false">IF(ISNUMBER(Q70),($K$27*Q70),("N/A"))</f>
        <v>251.712</v>
      </c>
      <c r="S70" s="22" t="n">
        <f aca="false">IF(ISNUMBER(R69),R69*$K$26,("N/A"))</f>
        <v>2013.696</v>
      </c>
      <c r="T70" s="53"/>
    </row>
    <row r="71" customFormat="false" ht="16.5" hidden="false" customHeight="false" outlineLevel="0" collapsed="false">
      <c r="B71" s="45" t="s">
        <v>33</v>
      </c>
      <c r="C71" s="73" t="n">
        <v>0.0225520085920447</v>
      </c>
      <c r="J71" s="74" t="s">
        <v>122</v>
      </c>
      <c r="K71" s="2" t="n">
        <v>1</v>
      </c>
      <c r="P71" s="27" t="n">
        <f aca="false">$V$12</f>
        <v>106.301699036396</v>
      </c>
      <c r="Q71" s="22" t="str">
        <f aca="false">$W$12</f>
        <v>N/A</v>
      </c>
      <c r="R71" s="22" t="str">
        <f aca="false">IF(ISNUMBER(Q71),($K$27*Q71),("N/A"))</f>
        <v>N/A</v>
      </c>
      <c r="S71" s="22" t="n">
        <f aca="false">IF(ISNUMBER(R70),R70*$K$26,("N/A"))</f>
        <v>4027.392</v>
      </c>
      <c r="T71" s="53"/>
    </row>
    <row r="72" customFormat="false" ht="15.75" hidden="false" customHeight="false" outlineLevel="0" collapsed="false">
      <c r="J72" s="74"/>
      <c r="P72" s="27" t="n">
        <f aca="false">$V$13</f>
        <v>106.301699036396</v>
      </c>
      <c r="Q72" s="22" t="str">
        <f aca="false">$W$13</f>
        <v>N/A</v>
      </c>
      <c r="R72" s="22" t="str">
        <f aca="false">IF(ISNUMBER(Q72),($K$27*Q72),("N/A"))</f>
        <v>N/A</v>
      </c>
      <c r="S72" s="22" t="str">
        <f aca="false">IF(ISNUMBER(R71),R71*$K$26,("N/A"))</f>
        <v>N/A</v>
      </c>
      <c r="T72" s="53"/>
    </row>
    <row r="73" customFormat="false" ht="15.75" hidden="false" customHeight="false" outlineLevel="0" collapsed="false">
      <c r="J73" s="74"/>
      <c r="P73" s="27" t="n">
        <f aca="false">$V$14</f>
        <v>106.301699036396</v>
      </c>
      <c r="Q73" s="22" t="str">
        <f aca="false">$W$14</f>
        <v>N/A</v>
      </c>
      <c r="R73" s="22" t="str">
        <f aca="false">IF(ISNUMBER(Q73),($K$27*Q73),("N/A"))</f>
        <v>N/A</v>
      </c>
      <c r="S73" s="22" t="str">
        <f aca="false">IF(ISNUMBER(R72),R72*$K$26,("N/A"))</f>
        <v>N/A</v>
      </c>
      <c r="T73" s="53"/>
    </row>
    <row r="74" customFormat="false" ht="15.75" hidden="false" customHeight="false" outlineLevel="0" collapsed="false">
      <c r="J74" s="74"/>
      <c r="P74" s="27" t="n">
        <f aca="false">$V$15</f>
        <v>106.301699036396</v>
      </c>
      <c r="Q74" s="22" t="str">
        <f aca="false">$W$15</f>
        <v>N/A</v>
      </c>
      <c r="R74" s="22" t="str">
        <f aca="false">IF(ISNUMBER(Q74),($K$27*Q74),("N/A"))</f>
        <v>N/A</v>
      </c>
      <c r="S74" s="22" t="str">
        <f aca="false">IF(ISNUMBER(R73),R73*$K$26,("N/A"))</f>
        <v>N/A</v>
      </c>
      <c r="T74" s="53"/>
    </row>
    <row r="75" customFormat="false" ht="15.75" hidden="false" customHeight="false" outlineLevel="0" collapsed="false">
      <c r="J75" s="74"/>
      <c r="P75" s="27" t="n">
        <f aca="false">$V$16</f>
        <v>106.301699036396</v>
      </c>
      <c r="Q75" s="22" t="str">
        <f aca="false">$W$16</f>
        <v>N/A</v>
      </c>
      <c r="R75" s="22" t="str">
        <f aca="false">IF(ISNUMBER(Q75),($K$27*Q75),("N/A"))</f>
        <v>N/A</v>
      </c>
      <c r="S75" s="22" t="str">
        <f aca="false">IF(ISNUMBER(R74),R74*$K$26,("N/A"))</f>
        <v>N/A</v>
      </c>
      <c r="T75" s="53"/>
    </row>
    <row r="76" customFormat="false" ht="15.75" hidden="false" customHeight="false" outlineLevel="0" collapsed="false">
      <c r="J76" s="74"/>
      <c r="P76" s="27" t="n">
        <f aca="false">$V$17</f>
        <v>106.301699036396</v>
      </c>
      <c r="Q76" s="22" t="str">
        <f aca="false">$W$17</f>
        <v>N/A</v>
      </c>
      <c r="R76" s="22" t="str">
        <f aca="false">IF(ISNUMBER(Q76),($K$27*Q76),("N/A"))</f>
        <v>N/A</v>
      </c>
      <c r="S76" s="22" t="str">
        <f aca="false">IF(ISNUMBER(R75),R75*$K$26,("N/A"))</f>
        <v>N/A</v>
      </c>
      <c r="T76" s="53"/>
    </row>
    <row r="77" customFormat="false" ht="15.75" hidden="false" customHeight="false" outlineLevel="0" collapsed="false">
      <c r="J77" s="74"/>
      <c r="P77" s="27" t="n">
        <f aca="false">$V$18</f>
        <v>106.301699036396</v>
      </c>
      <c r="Q77" s="22" t="str">
        <f aca="false">$W$18</f>
        <v>N/A</v>
      </c>
      <c r="R77" s="22" t="str">
        <f aca="false">IF(ISNUMBER(Q77),($K$27*Q77),("N/A"))</f>
        <v>N/A</v>
      </c>
      <c r="S77" s="22" t="str">
        <f aca="false">IF(ISNUMBER(R76),R76*$K$26,("N/A"))</f>
        <v>N/A</v>
      </c>
      <c r="T77" s="53"/>
    </row>
    <row r="78" customFormat="false" ht="15.75" hidden="false" customHeight="false" outlineLevel="0" collapsed="false">
      <c r="J78" s="74" t="s">
        <v>123</v>
      </c>
      <c r="K78" s="2" t="n">
        <v>1</v>
      </c>
      <c r="P78" s="27" t="n">
        <f aca="false">$V$19</f>
        <v>106.301699036396</v>
      </c>
      <c r="Q78" s="22" t="str">
        <f aca="false">$W$19</f>
        <v>N/A</v>
      </c>
      <c r="R78" s="22" t="str">
        <f aca="false">IF(ISNUMBER(Q78),($K$27*Q78),("N/A"))</f>
        <v>N/A</v>
      </c>
      <c r="S78" s="22" t="str">
        <f aca="false">IF(ISNUMBER(R77),R77*$K$26,("N/A"))</f>
        <v>N/A</v>
      </c>
      <c r="T78" s="53"/>
    </row>
    <row r="79" customFormat="false" ht="30" hidden="false" customHeight="false" outlineLevel="0" collapsed="false">
      <c r="J79" s="74" t="s">
        <v>124</v>
      </c>
      <c r="K79" s="2" t="n">
        <v>1</v>
      </c>
      <c r="P79" s="54" t="s">
        <v>125</v>
      </c>
      <c r="Q79" s="59" t="s">
        <v>126</v>
      </c>
      <c r="R79" s="59" t="s">
        <v>127</v>
      </c>
      <c r="S79" s="81" t="s">
        <v>128</v>
      </c>
      <c r="T79" s="82" t="s">
        <v>129</v>
      </c>
    </row>
    <row r="80" customFormat="false" ht="15.75" hidden="false" customHeight="false" outlineLevel="0" collapsed="false">
      <c r="J80" s="74" t="s">
        <v>130</v>
      </c>
      <c r="K80" s="2" t="n">
        <v>0.1</v>
      </c>
      <c r="P80" s="21" t="n">
        <f aca="false">(U5*K27)*K14</f>
        <v>61354.8</v>
      </c>
      <c r="Q80" s="22" t="n">
        <f aca="false">T64+P80</f>
        <v>69346.656</v>
      </c>
      <c r="R80" s="28" t="n">
        <f aca="false">K39*K9</f>
        <v>534</v>
      </c>
      <c r="S80" s="51" t="n">
        <f aca="false">Q80/R80</f>
        <v>129.862651685393</v>
      </c>
      <c r="T80" s="83" t="n">
        <f aca="false">S80*K9</f>
        <v>2597253.03370787</v>
      </c>
    </row>
    <row r="81" customFormat="false" ht="15" hidden="false" customHeight="false" outlineLevel="0" collapsed="false">
      <c r="P81" s="27"/>
      <c r="Q81" s="24"/>
      <c r="R81" s="24"/>
      <c r="S81" s="22"/>
      <c r="T81" s="25" t="n">
        <f aca="false">Q80*180.156/3.2</f>
        <v>3904130.04948</v>
      </c>
    </row>
    <row r="82" customFormat="false" ht="15.75" hidden="false" customHeight="false" outlineLevel="0" collapsed="false">
      <c r="J82" s="74" t="s">
        <v>131</v>
      </c>
      <c r="P82" s="27" t="s">
        <v>132</v>
      </c>
      <c r="Q82" s="24"/>
      <c r="R82" s="24"/>
      <c r="S82" s="22"/>
      <c r="T82" s="53"/>
    </row>
    <row r="83" customFormat="false" ht="15.75" hidden="false" customHeight="false" outlineLevel="0" collapsed="false">
      <c r="J83" s="74" t="s">
        <v>133</v>
      </c>
      <c r="K83" s="2" t="n">
        <v>1</v>
      </c>
      <c r="P83" s="84" t="n">
        <f aca="false">(K32*N12)+(K33*N13)+(K34*N14)+(K35*N15)+(K36*N16)+(K37*N17)+(K38*N18)+(N11)</f>
        <v>20.9724764</v>
      </c>
      <c r="Q83" s="2"/>
      <c r="R83" s="24"/>
      <c r="S83" s="22"/>
      <c r="T83" s="53"/>
    </row>
    <row r="84" customFormat="false" ht="15.75" hidden="false" customHeight="false" outlineLevel="0" collapsed="false">
      <c r="J84" s="74" t="s">
        <v>134</v>
      </c>
      <c r="K84" s="2" t="n">
        <v>1.2</v>
      </c>
      <c r="P84" s="27"/>
      <c r="Q84" s="24"/>
      <c r="R84" s="24"/>
      <c r="S84" s="22"/>
      <c r="T84" s="53"/>
    </row>
    <row r="85" customFormat="false" ht="15.75" hidden="false" customHeight="false" outlineLevel="0" collapsed="false">
      <c r="J85" s="74" t="s">
        <v>135</v>
      </c>
      <c r="K85" s="2" t="n">
        <v>0.8</v>
      </c>
      <c r="P85" s="27" t="s">
        <v>136</v>
      </c>
      <c r="Q85" s="24"/>
      <c r="R85" s="24"/>
      <c r="S85" s="22"/>
      <c r="T85" s="53"/>
    </row>
    <row r="86" customFormat="false" ht="15.75" hidden="false" customHeight="false" outlineLevel="0" collapsed="false">
      <c r="J86" s="74" t="s">
        <v>137</v>
      </c>
      <c r="K86" s="2" t="n">
        <v>1.5</v>
      </c>
      <c r="P86" s="85" t="n">
        <f aca="false">T80*Q31</f>
        <v>31208303582.7857</v>
      </c>
      <c r="Q86" s="24"/>
      <c r="R86" s="24"/>
      <c r="S86" s="22"/>
      <c r="T86" s="53"/>
    </row>
    <row r="87" customFormat="false" ht="15.75" hidden="false" customHeight="false" outlineLevel="0" collapsed="false">
      <c r="B87" s="86"/>
      <c r="J87" s="74" t="s">
        <v>138</v>
      </c>
      <c r="K87" s="2" t="n">
        <v>1.4</v>
      </c>
      <c r="P87" s="27" t="s">
        <v>139</v>
      </c>
      <c r="Q87" s="24"/>
      <c r="R87" s="24"/>
      <c r="S87" s="22"/>
      <c r="T87" s="53"/>
    </row>
    <row r="88" customFormat="false" ht="16.5" hidden="false" customHeight="false" outlineLevel="0" collapsed="false">
      <c r="J88" s="74" t="s">
        <v>140</v>
      </c>
      <c r="K88" s="2" t="n">
        <v>1.25</v>
      </c>
      <c r="P88" s="87" t="n">
        <f aca="false">P86*P83</f>
        <v>654515410374.008</v>
      </c>
      <c r="Q88" s="43"/>
      <c r="R88" s="43"/>
      <c r="S88" s="42"/>
      <c r="T88" s="57"/>
    </row>
    <row r="90" customFormat="false" ht="16.5" hidden="false" customHeight="false" outlineLevel="0" collapsed="false">
      <c r="J90" s="88" t="s">
        <v>141</v>
      </c>
      <c r="P90" s="5" t="s">
        <v>142</v>
      </c>
    </row>
    <row r="91" customFormat="false" ht="30" hidden="false" customHeight="false" outlineLevel="0" collapsed="false">
      <c r="J91" s="74" t="s">
        <v>118</v>
      </c>
      <c r="K91" s="2" t="n">
        <v>0</v>
      </c>
      <c r="P91" s="15" t="s">
        <v>143</v>
      </c>
      <c r="Q91" s="16" t="s">
        <v>112</v>
      </c>
      <c r="R91" s="16" t="s">
        <v>144</v>
      </c>
      <c r="S91" s="17" t="s">
        <v>145</v>
      </c>
      <c r="T91" s="49" t="s">
        <v>146</v>
      </c>
    </row>
    <row r="92" customFormat="false" ht="15.75" hidden="false" customHeight="false" outlineLevel="0" collapsed="false">
      <c r="J92" s="74" t="s">
        <v>119</v>
      </c>
      <c r="K92" s="2" t="n">
        <v>0</v>
      </c>
      <c r="P92" s="27" t="n">
        <f aca="false">$V$5</f>
        <v>0</v>
      </c>
      <c r="Q92" s="22" t="n">
        <f aca="false">$W$5</f>
        <v>19000000000000</v>
      </c>
      <c r="R92" s="22" t="n">
        <f aca="false">IF(ISNUMBER(Q92),($K$28*Q92),("N/A"))</f>
        <v>0.342</v>
      </c>
      <c r="S92" s="22"/>
      <c r="T92" s="25" t="n">
        <f aca="false">SUM(S93:S106)</f>
        <v>694.944</v>
      </c>
    </row>
    <row r="93" customFormat="false" ht="15.75" hidden="false" customHeight="false" outlineLevel="0" collapsed="false">
      <c r="J93" s="74" t="s">
        <v>120</v>
      </c>
      <c r="K93" s="2" t="n">
        <v>0</v>
      </c>
      <c r="P93" s="27" t="n">
        <f aca="false">$V$6</f>
        <v>16</v>
      </c>
      <c r="Q93" s="22" t="n">
        <f aca="false">$W$6</f>
        <v>38000000000000</v>
      </c>
      <c r="R93" s="22" t="n">
        <f aca="false">IF(ISNUMBER(Q93),($K$28*Q93),("N/A"))</f>
        <v>0.684</v>
      </c>
      <c r="S93" s="22" t="n">
        <f aca="false">IF(ISNUMBER(R92),R92*$K$26,("N/A"))</f>
        <v>5.472</v>
      </c>
      <c r="T93" s="53"/>
    </row>
    <row r="94" customFormat="false" ht="15.75" hidden="false" customHeight="false" outlineLevel="0" collapsed="false">
      <c r="B94" s="86"/>
      <c r="J94" s="74" t="s">
        <v>121</v>
      </c>
      <c r="K94" s="2" t="n">
        <v>0</v>
      </c>
      <c r="P94" s="27" t="n">
        <f aca="false">$V$7</f>
        <v>32</v>
      </c>
      <c r="Q94" s="22" t="n">
        <f aca="false">$W$7</f>
        <v>76000000000000</v>
      </c>
      <c r="R94" s="22" t="n">
        <f aca="false">IF(ISNUMBER(Q94),($K$28*Q94),("N/A"))</f>
        <v>1.368</v>
      </c>
      <c r="S94" s="22" t="n">
        <f aca="false">IF(ISNUMBER(R93),R93*$K$26,("N/A"))</f>
        <v>10.944</v>
      </c>
      <c r="T94" s="53"/>
    </row>
    <row r="95" customFormat="false" ht="15.75" hidden="false" customHeight="false" outlineLevel="0" collapsed="false">
      <c r="B95" s="86"/>
      <c r="J95" s="74" t="s">
        <v>122</v>
      </c>
      <c r="K95" s="2" t="n">
        <v>0</v>
      </c>
      <c r="P95" s="27" t="n">
        <f aca="false">$V$8</f>
        <v>48</v>
      </c>
      <c r="Q95" s="22" t="n">
        <f aca="false">$W$8</f>
        <v>152000000000000</v>
      </c>
      <c r="R95" s="22" t="n">
        <f aca="false">IF(ISNUMBER(Q95),($K$28*Q95),("N/A"))</f>
        <v>2.736</v>
      </c>
      <c r="S95" s="22" t="n">
        <f aca="false">IF(ISNUMBER(R94),R94*$K$26,("N/A"))</f>
        <v>21.888</v>
      </c>
      <c r="T95" s="53"/>
    </row>
    <row r="96" customFormat="false" ht="15.75" hidden="false" customHeight="false" outlineLevel="0" collapsed="false">
      <c r="J96" s="74" t="s">
        <v>123</v>
      </c>
      <c r="K96" s="2" t="n">
        <v>0</v>
      </c>
      <c r="P96" s="27" t="n">
        <f aca="false">$V$9</f>
        <v>64</v>
      </c>
      <c r="Q96" s="22" t="n">
        <f aca="false">$W$9</f>
        <v>304000000000000</v>
      </c>
      <c r="R96" s="22" t="n">
        <f aca="false">IF(ISNUMBER(Q96),($K$28*Q96),("N/A"))</f>
        <v>5.472</v>
      </c>
      <c r="S96" s="22" t="n">
        <f aca="false">IF(ISNUMBER(R95),R95*$K$26,("N/A"))</f>
        <v>43.776</v>
      </c>
      <c r="T96" s="53"/>
    </row>
    <row r="97" customFormat="false" ht="15.75" hidden="false" customHeight="false" outlineLevel="0" collapsed="false">
      <c r="J97" s="74" t="s">
        <v>124</v>
      </c>
      <c r="K97" s="2" t="s">
        <v>147</v>
      </c>
      <c r="P97" s="27" t="n">
        <f aca="false">$V$10</f>
        <v>80</v>
      </c>
      <c r="Q97" s="22" t="n">
        <f aca="false">$W$10</f>
        <v>608000000000000</v>
      </c>
      <c r="R97" s="22" t="n">
        <f aca="false">IF(ISNUMBER(Q97),($K$28*Q97),("N/A"))</f>
        <v>10.944</v>
      </c>
      <c r="S97" s="22" t="n">
        <f aca="false">IF(ISNUMBER(R96),R96*$K$26,("N/A"))</f>
        <v>87.552</v>
      </c>
      <c r="T97" s="53"/>
    </row>
    <row r="98" customFormat="false" ht="15.75" hidden="false" customHeight="false" outlineLevel="0" collapsed="false">
      <c r="J98" s="74" t="s">
        <v>130</v>
      </c>
      <c r="K98" s="2" t="n">
        <v>0</v>
      </c>
      <c r="P98" s="27" t="n">
        <f aca="false">$V$11</f>
        <v>96</v>
      </c>
      <c r="Q98" s="22" t="n">
        <f aca="false">$W$11</f>
        <v>1216000000000000</v>
      </c>
      <c r="R98" s="22" t="n">
        <f aca="false">IF(ISNUMBER(Q98),($K$28*Q98),("N/A"))</f>
        <v>21.888</v>
      </c>
      <c r="S98" s="22" t="n">
        <f aca="false">IF(ISNUMBER(R97),R97*$K$26,("N/A"))</f>
        <v>175.104</v>
      </c>
      <c r="T98" s="53"/>
    </row>
    <row r="99" customFormat="false" ht="15" hidden="false" customHeight="false" outlineLevel="0" collapsed="false">
      <c r="P99" s="27" t="n">
        <f aca="false">$V$12</f>
        <v>106.301699036396</v>
      </c>
      <c r="Q99" s="22" t="str">
        <f aca="false">$W$12</f>
        <v>N/A</v>
      </c>
      <c r="R99" s="22" t="str">
        <f aca="false">IF(ISNUMBER(Q99),($K$28*Q99),("N/A"))</f>
        <v>N/A</v>
      </c>
      <c r="S99" s="22" t="n">
        <f aca="false">IF(ISNUMBER(R98),R98*$K$26,("N/A"))</f>
        <v>350.208</v>
      </c>
      <c r="T99" s="53"/>
    </row>
    <row r="100" customFormat="false" ht="15.75" hidden="false" customHeight="false" outlineLevel="0" collapsed="false">
      <c r="J100" s="88" t="s">
        <v>148</v>
      </c>
      <c r="P100" s="27" t="n">
        <f aca="false">$V$13</f>
        <v>106.301699036396</v>
      </c>
      <c r="Q100" s="22" t="str">
        <f aca="false">$W$13</f>
        <v>N/A</v>
      </c>
      <c r="R100" s="22" t="str">
        <f aca="false">IF(ISNUMBER(Q100),($K$28*Q100),("N/A"))</f>
        <v>N/A</v>
      </c>
      <c r="S100" s="22" t="str">
        <f aca="false">IF(ISNUMBER(R99),R99*$K$26,("N/A"))</f>
        <v>N/A</v>
      </c>
      <c r="T100" s="53"/>
    </row>
    <row r="101" customFormat="false" ht="15" hidden="false" customHeight="false" outlineLevel="0" collapsed="false">
      <c r="P101" s="27" t="n">
        <f aca="false">$V$14</f>
        <v>106.301699036396</v>
      </c>
      <c r="Q101" s="22" t="str">
        <f aca="false">$W$14</f>
        <v>N/A</v>
      </c>
      <c r="R101" s="22" t="str">
        <f aca="false">IF(ISNUMBER(Q101),($K$28*Q101),("N/A"))</f>
        <v>N/A</v>
      </c>
      <c r="S101" s="22" t="str">
        <f aca="false">IF(ISNUMBER(R100),R100*$K$26,("N/A"))</f>
        <v>N/A</v>
      </c>
      <c r="T101" s="53"/>
    </row>
    <row r="102" customFormat="false" ht="15" hidden="false" customHeight="false" outlineLevel="0" collapsed="false">
      <c r="J102" s="1" t="s">
        <v>149</v>
      </c>
      <c r="K102" s="72" t="n">
        <v>0.9</v>
      </c>
      <c r="P102" s="27" t="n">
        <f aca="false">$V$15</f>
        <v>106.301699036396</v>
      </c>
      <c r="Q102" s="22" t="str">
        <f aca="false">$W$15</f>
        <v>N/A</v>
      </c>
      <c r="R102" s="22" t="str">
        <f aca="false">IF(ISNUMBER(Q102),($K$28*Q102),("N/A"))</f>
        <v>N/A</v>
      </c>
      <c r="S102" s="22" t="str">
        <f aca="false">IF(ISNUMBER(R101),R101*$K$26,("N/A"))</f>
        <v>N/A</v>
      </c>
      <c r="T102" s="53"/>
    </row>
    <row r="103" customFormat="false" ht="15" hidden="false" customHeight="false" outlineLevel="0" collapsed="false">
      <c r="J103" s="1" t="s">
        <v>150</v>
      </c>
      <c r="K103" s="72" t="n">
        <v>0.05</v>
      </c>
      <c r="P103" s="27" t="n">
        <f aca="false">$V$16</f>
        <v>106.301699036396</v>
      </c>
      <c r="Q103" s="22" t="str">
        <f aca="false">$W$16</f>
        <v>N/A</v>
      </c>
      <c r="R103" s="22" t="str">
        <f aca="false">IF(ISNUMBER(Q103),($K$28*Q103),("N/A"))</f>
        <v>N/A</v>
      </c>
      <c r="S103" s="22" t="str">
        <f aca="false">IF(ISNUMBER(R102),R102*$K$26,("N/A"))</f>
        <v>N/A</v>
      </c>
      <c r="T103" s="53"/>
    </row>
    <row r="104" customFormat="false" ht="15" hidden="false" customHeight="false" outlineLevel="0" collapsed="false">
      <c r="J104" s="1" t="s">
        <v>151</v>
      </c>
      <c r="K104" s="2" t="n">
        <v>20</v>
      </c>
      <c r="P104" s="27" t="n">
        <f aca="false">$V$17</f>
        <v>106.301699036396</v>
      </c>
      <c r="Q104" s="22" t="str">
        <f aca="false">$W$17</f>
        <v>N/A</v>
      </c>
      <c r="R104" s="22" t="str">
        <f aca="false">IF(ISNUMBER(Q104),($K$28*Q104),("N/A"))</f>
        <v>N/A</v>
      </c>
      <c r="S104" s="22" t="str">
        <f aca="false">IF(ISNUMBER(R103),R103*$K$26,("N/A"))</f>
        <v>N/A</v>
      </c>
      <c r="T104" s="53"/>
    </row>
    <row r="105" customFormat="false" ht="15" hidden="false" customHeight="false" outlineLevel="0" collapsed="false">
      <c r="J105" s="1" t="s">
        <v>190</v>
      </c>
      <c r="K105" s="72" t="n">
        <v>0.15</v>
      </c>
      <c r="P105" s="27" t="n">
        <f aca="false">$V$18</f>
        <v>106.301699036396</v>
      </c>
      <c r="Q105" s="22" t="str">
        <f aca="false">$W$18</f>
        <v>N/A</v>
      </c>
      <c r="R105" s="22" t="str">
        <f aca="false">IF(ISNUMBER(Q105),($K$28*Q105),("N/A"))</f>
        <v>N/A</v>
      </c>
      <c r="S105" s="22" t="str">
        <f aca="false">IF(ISNUMBER(R104),R104*$K$26,("N/A"))</f>
        <v>N/A</v>
      </c>
      <c r="T105" s="53"/>
    </row>
    <row r="106" customFormat="false" ht="15" hidden="false" customHeight="false" outlineLevel="0" collapsed="false">
      <c r="P106" s="27" t="n">
        <f aca="false">$V$19</f>
        <v>106.301699036396</v>
      </c>
      <c r="Q106" s="22" t="str">
        <f aca="false">$W$19</f>
        <v>N/A</v>
      </c>
      <c r="R106" s="22" t="str">
        <f aca="false">IF(ISNUMBER(Q106),($K$28*Q106),("N/A"))</f>
        <v>N/A</v>
      </c>
      <c r="S106" s="22" t="str">
        <f aca="false">IF(ISNUMBER(R105),R105*$K$26,("N/A"))</f>
        <v>N/A</v>
      </c>
      <c r="T106" s="53"/>
    </row>
    <row r="107" customFormat="false" ht="30" hidden="false" customHeight="false" outlineLevel="0" collapsed="false">
      <c r="P107" s="89" t="s">
        <v>153</v>
      </c>
      <c r="Q107" s="90" t="s">
        <v>154</v>
      </c>
      <c r="R107" s="91" t="s">
        <v>155</v>
      </c>
      <c r="S107" s="81"/>
      <c r="T107" s="82"/>
    </row>
    <row r="108" customFormat="false" ht="15" hidden="false" customHeight="false" outlineLevel="0" collapsed="false">
      <c r="P108" s="21" t="n">
        <f aca="false">U5*K28*K14</f>
        <v>5335.2</v>
      </c>
      <c r="Q108" s="22" t="n">
        <f aca="false">T80*K40*K41/K42</f>
        <v>1623283.14606742</v>
      </c>
      <c r="R108" s="22" t="n">
        <f aca="false">P108+T92+Q108</f>
        <v>1629313.29006742</v>
      </c>
      <c r="S108" s="22"/>
      <c r="T108" s="53"/>
    </row>
    <row r="109" customFormat="false" ht="15" hidden="false" customHeight="false" outlineLevel="0" collapsed="false">
      <c r="P109" s="27"/>
      <c r="Q109" s="24"/>
      <c r="R109" s="24"/>
      <c r="S109" s="22"/>
      <c r="T109" s="53"/>
    </row>
    <row r="110" customFormat="false" ht="15" hidden="false" customHeight="false" outlineLevel="0" collapsed="false">
      <c r="P110" s="27"/>
      <c r="Q110" s="24"/>
      <c r="R110" s="24"/>
      <c r="S110" s="22"/>
      <c r="T110" s="53"/>
    </row>
    <row r="111" customFormat="false" ht="15" hidden="false" customHeight="false" outlineLevel="0" collapsed="false">
      <c r="P111" s="27"/>
      <c r="Q111" s="24"/>
      <c r="R111" s="24"/>
      <c r="S111" s="22"/>
      <c r="T111" s="53"/>
    </row>
    <row r="112" customFormat="false" ht="30" hidden="false" customHeight="false" outlineLevel="0" collapsed="false">
      <c r="P112" s="54" t="s">
        <v>156</v>
      </c>
      <c r="Q112" s="28"/>
      <c r="R112" s="24"/>
      <c r="S112" s="22"/>
      <c r="T112" s="53"/>
    </row>
    <row r="113" customFormat="false" ht="15" hidden="false" customHeight="false" outlineLevel="0" collapsed="false">
      <c r="P113" s="79" t="n">
        <f aca="false">(R108*Q31*K42)/1000</f>
        <v>626484.712923638</v>
      </c>
      <c r="Q113" s="24"/>
      <c r="R113" s="24"/>
      <c r="S113" s="22"/>
      <c r="T113" s="53"/>
    </row>
    <row r="114" customFormat="false" ht="15" hidden="false" customHeight="false" outlineLevel="0" collapsed="false">
      <c r="P114" s="27" t="s">
        <v>157</v>
      </c>
      <c r="Q114" s="24"/>
      <c r="R114" s="24"/>
      <c r="S114" s="22"/>
      <c r="T114" s="53"/>
    </row>
    <row r="115" customFormat="false" ht="15.75" hidden="false" customHeight="false" outlineLevel="0" collapsed="false">
      <c r="P115" s="87" t="n">
        <f aca="false">P113*N25</f>
        <v>25059388.5169455</v>
      </c>
      <c r="Q115" s="43"/>
      <c r="R115" s="43"/>
      <c r="S115" s="42"/>
      <c r="T115" s="57"/>
    </row>
    <row r="118" customFormat="false" ht="15.75" hidden="false" customHeight="false" outlineLevel="0" collapsed="false">
      <c r="P118" s="5" t="s">
        <v>158</v>
      </c>
    </row>
    <row r="119" customFormat="false" ht="30" hidden="false" customHeight="false" outlineLevel="0" collapsed="false">
      <c r="P119" s="15" t="s">
        <v>159</v>
      </c>
      <c r="Q119" s="49" t="s">
        <v>160</v>
      </c>
    </row>
    <row r="120" customFormat="false" ht="15" hidden="false" customHeight="false" outlineLevel="0" collapsed="false">
      <c r="P120" s="92" t="n">
        <f aca="false">(0.09*N28+6.78)/100</f>
        <v>0.071553</v>
      </c>
      <c r="Q120" s="63" t="n">
        <f aca="false">(N29/K44)/100</f>
        <v>0.0167058823529412</v>
      </c>
    </row>
    <row r="121" customFormat="false" ht="15" hidden="false" customHeight="false" outlineLevel="0" collapsed="false">
      <c r="P121" s="27"/>
      <c r="Q121" s="53"/>
    </row>
    <row r="122" customFormat="false" ht="15" hidden="false" customHeight="false" outlineLevel="0" collapsed="false">
      <c r="P122" s="27"/>
      <c r="Q122" s="53"/>
    </row>
    <row r="123" customFormat="false" ht="15" hidden="false" customHeight="false" outlineLevel="0" collapsed="false">
      <c r="P123" s="27" t="s">
        <v>161</v>
      </c>
      <c r="Q123" s="53"/>
    </row>
    <row r="124" customFormat="false" ht="15.75" hidden="false" customHeight="false" outlineLevel="0" collapsed="false">
      <c r="P124" s="87" t="n">
        <f aca="false">(P120*K46) + (Q120*K45)</f>
        <v>0.0441294411764706</v>
      </c>
      <c r="Q124" s="57"/>
    </row>
    <row r="127" customFormat="false" ht="15.75" hidden="false" customHeight="false" outlineLevel="0" collapsed="false">
      <c r="P127" s="5" t="s">
        <v>162</v>
      </c>
    </row>
    <row r="128" customFormat="false" ht="30" hidden="false" customHeight="false" outlineLevel="0" collapsed="false">
      <c r="P128" s="15" t="s">
        <v>163</v>
      </c>
      <c r="Q128" s="16" t="s">
        <v>164</v>
      </c>
      <c r="R128" s="49" t="s">
        <v>165</v>
      </c>
    </row>
    <row r="129" customFormat="false" ht="15.75" hidden="false" customHeight="false" outlineLevel="0" collapsed="false">
      <c r="A129" s="74"/>
      <c r="P129" s="85" t="n">
        <f aca="false">((P86*K40)*(K52-K51)*K53)/K54</f>
        <v>615427746.652533</v>
      </c>
      <c r="Q129" s="28" t="n">
        <f aca="false">(R108*Q31*K56)/K57</f>
        <v>2545094146.25228</v>
      </c>
      <c r="R129" s="93" t="n">
        <f aca="false">K11*(K60-K61)*K59/K62</f>
        <v>2483646</v>
      </c>
    </row>
    <row r="130" customFormat="false" ht="15" hidden="false" customHeight="false" outlineLevel="0" collapsed="false">
      <c r="P130" s="27"/>
      <c r="Q130" s="24"/>
      <c r="R130" s="53"/>
    </row>
    <row r="131" customFormat="false" ht="15" hidden="false" customHeight="false" outlineLevel="0" collapsed="false">
      <c r="P131" s="27"/>
      <c r="Q131" s="24"/>
      <c r="R131" s="53"/>
    </row>
    <row r="132" customFormat="false" ht="15" hidden="false" customHeight="false" outlineLevel="0" collapsed="false">
      <c r="P132" s="27" t="s">
        <v>166</v>
      </c>
      <c r="Q132" s="24"/>
      <c r="R132" s="53"/>
    </row>
    <row r="133" customFormat="false" ht="15" hidden="false" customHeight="false" outlineLevel="0" collapsed="false">
      <c r="M133" s="2"/>
      <c r="P133" s="79" t="n">
        <f aca="false">P129+Q129+R129</f>
        <v>3163005538.90481</v>
      </c>
      <c r="Q133" s="24"/>
      <c r="R133" s="53"/>
    </row>
    <row r="134" customFormat="false" ht="15" hidden="false" customHeight="false" outlineLevel="0" collapsed="false">
      <c r="P134" s="27" t="s">
        <v>167</v>
      </c>
      <c r="Q134" s="24"/>
      <c r="R134" s="53"/>
    </row>
    <row r="135" customFormat="false" ht="15.75" hidden="false" customHeight="false" outlineLevel="0" collapsed="false">
      <c r="P135" s="87" t="n">
        <f aca="false">P133*P124</f>
        <v>139581666.869951</v>
      </c>
      <c r="Q135" s="43"/>
      <c r="R135" s="57"/>
    </row>
    <row r="138" customFormat="false" ht="15.75" hidden="false" customHeight="false" outlineLevel="0" collapsed="false">
      <c r="P138" s="5" t="s">
        <v>168</v>
      </c>
    </row>
    <row r="139" customFormat="false" ht="30" hidden="false" customHeight="false" outlineLevel="0" collapsed="false">
      <c r="P139" s="15" t="s">
        <v>169</v>
      </c>
      <c r="Q139" s="49" t="s">
        <v>170</v>
      </c>
    </row>
    <row r="140" customFormat="false" ht="15" hidden="false" customHeight="false" outlineLevel="0" collapsed="false">
      <c r="P140" s="94" t="n">
        <f aca="false">((K67*K91)+(K68*K92)+(K93*K69)+(K94*K70)+(K71*K95)+(K96*K78)+(Q30*K79)+(K80*K98))</f>
        <v>359.79315548471</v>
      </c>
      <c r="Q140" s="53" t="n">
        <f aca="false">K83*K84*K85*K86*K87*K88</f>
        <v>2.52</v>
      </c>
    </row>
    <row r="141" customFormat="false" ht="15" hidden="false" customHeight="false" outlineLevel="0" collapsed="false">
      <c r="P141" s="27"/>
      <c r="Q141" s="53"/>
    </row>
    <row r="142" customFormat="false" ht="15" hidden="false" customHeight="false" outlineLevel="0" collapsed="false">
      <c r="P142" s="27" t="s">
        <v>168</v>
      </c>
      <c r="Q142" s="53"/>
    </row>
    <row r="143" customFormat="false" ht="15.75" hidden="false" customHeight="false" outlineLevel="0" collapsed="false">
      <c r="P143" s="95" t="n">
        <f aca="false">K15*Q140*N32*P140</f>
        <v>108653480.246279</v>
      </c>
      <c r="Q143" s="57"/>
    </row>
    <row r="146" customFormat="false" ht="15.75" hidden="false" customHeight="false" outlineLevel="0" collapsed="false">
      <c r="P146" s="5" t="s">
        <v>171</v>
      </c>
    </row>
    <row r="147" customFormat="false" ht="30" hidden="false" customHeight="false" outlineLevel="0" collapsed="false">
      <c r="P147" s="29" t="s">
        <v>172</v>
      </c>
      <c r="Q147" s="16" t="s">
        <v>173</v>
      </c>
      <c r="R147" s="16" t="s">
        <v>174</v>
      </c>
      <c r="S147" s="96" t="s">
        <v>175</v>
      </c>
    </row>
    <row r="148" customFormat="false" ht="15" hidden="false" customHeight="false" outlineLevel="0" collapsed="false">
      <c r="P148" s="79" t="n">
        <f aca="false">P86/1000</f>
        <v>31208303.5827857</v>
      </c>
      <c r="Q148" s="62" t="n">
        <f aca="false">N36*P148</f>
        <v>19661231.257155</v>
      </c>
      <c r="R148" s="62" t="n">
        <f aca="false">P148*N37</f>
        <v>15916234.8272207</v>
      </c>
      <c r="S148" s="63" t="n">
        <f aca="false">N38*P148</f>
        <v>17788733.0421878</v>
      </c>
    </row>
    <row r="149" customFormat="false" ht="15" hidden="false" customHeight="false" outlineLevel="0" collapsed="false">
      <c r="P149" s="27"/>
      <c r="Q149" s="24"/>
      <c r="R149" s="24"/>
      <c r="S149" s="25"/>
    </row>
    <row r="150" customFormat="false" ht="30" hidden="false" customHeight="false" outlineLevel="0" collapsed="false">
      <c r="P150" s="54" t="s">
        <v>176</v>
      </c>
      <c r="Q150" s="24"/>
      <c r="R150" s="24"/>
      <c r="S150" s="25"/>
    </row>
    <row r="151" customFormat="false" ht="15.75" hidden="false" customHeight="false" outlineLevel="0" collapsed="false">
      <c r="P151" s="87" t="n">
        <f aca="false">Q148+R148+S148</f>
        <v>53366199.1265635</v>
      </c>
      <c r="Q151" s="43"/>
      <c r="R151" s="43"/>
      <c r="S151" s="44"/>
    </row>
    <row r="154" customFormat="false" ht="15.75" hidden="false" customHeight="false" outlineLevel="0" collapsed="false">
      <c r="P154" s="5" t="s">
        <v>177</v>
      </c>
    </row>
    <row r="155" customFormat="false" ht="15" hidden="false" customHeight="false" outlineLevel="0" collapsed="false">
      <c r="P155" s="29" t="s">
        <v>178</v>
      </c>
      <c r="Q155" s="48" t="s">
        <v>179</v>
      </c>
      <c r="R155" s="48" t="s">
        <v>180</v>
      </c>
      <c r="S155" s="97" t="s">
        <v>181</v>
      </c>
      <c r="T155" s="58" t="s">
        <v>182</v>
      </c>
    </row>
    <row r="156" customFormat="false" ht="15" hidden="false" customHeight="false" outlineLevel="0" collapsed="false">
      <c r="P156" s="98" t="n">
        <f aca="false">1-K102</f>
        <v>0.1</v>
      </c>
      <c r="Q156" s="72" t="n">
        <f aca="false">K102*K103+P156*K105</f>
        <v>0.06</v>
      </c>
      <c r="R156" s="99" t="n">
        <f aca="false">D4</f>
        <v>280066139.489101</v>
      </c>
      <c r="S156" s="62" t="n">
        <f aca="false">R156*K102</f>
        <v>252059525.540191</v>
      </c>
      <c r="T156" s="100" t="n">
        <f aca="false">R156*P156</f>
        <v>28006613.9489101</v>
      </c>
    </row>
    <row r="157" customFormat="false" ht="15" hidden="false" customHeight="false" outlineLevel="0" collapsed="false">
      <c r="P157" s="27"/>
      <c r="Q157" s="24"/>
      <c r="R157" s="24"/>
      <c r="S157" s="22"/>
      <c r="T157" s="53"/>
    </row>
    <row r="158" customFormat="false" ht="26.25" hidden="false" customHeight="true" outlineLevel="0" collapsed="false">
      <c r="P158" s="27" t="s">
        <v>183</v>
      </c>
      <c r="Q158" s="24" t="s">
        <v>184</v>
      </c>
      <c r="R158" s="24" t="s">
        <v>185</v>
      </c>
      <c r="S158" s="81" t="s">
        <v>186</v>
      </c>
      <c r="T158" s="53"/>
    </row>
    <row r="159" customFormat="false" ht="15" hidden="false" customHeight="false" outlineLevel="0" collapsed="false">
      <c r="P159" s="101" t="n">
        <f aca="false">(K103*(1+K103)^K104)/((1+K103)^K104-1)</f>
        <v>0.0802425871906913</v>
      </c>
      <c r="Q159" s="62" t="n">
        <f aca="false">S156*P159</f>
        <v>20225908.4554031</v>
      </c>
      <c r="R159" s="28" t="n">
        <f aca="false">(K105*(1+K105)^K104)/((1+K105)^K104-1)</f>
        <v>0.159761470405744</v>
      </c>
      <c r="S159" s="62" t="n">
        <f aca="false">T156*R159</f>
        <v>4474377.8255639</v>
      </c>
      <c r="T159" s="53"/>
    </row>
    <row r="160" customFormat="false" ht="15" hidden="false" customHeight="false" outlineLevel="0" collapsed="false">
      <c r="P160" s="27"/>
      <c r="Q160" s="24"/>
      <c r="R160" s="24"/>
      <c r="S160" s="22"/>
      <c r="T160" s="53"/>
    </row>
    <row r="161" customFormat="false" ht="30" hidden="false" customHeight="false" outlineLevel="0" collapsed="false">
      <c r="P161" s="54" t="s">
        <v>189</v>
      </c>
      <c r="Q161" s="24"/>
      <c r="R161" s="24"/>
      <c r="S161" s="22"/>
      <c r="T161" s="53"/>
    </row>
    <row r="162" customFormat="false" ht="15.75" hidden="false" customHeight="false" outlineLevel="0" collapsed="false">
      <c r="P162" s="87" t="n">
        <f aca="false">Q159+S159</f>
        <v>24700286.280967</v>
      </c>
      <c r="Q162" s="43"/>
      <c r="R162" s="43"/>
      <c r="S162" s="42"/>
      <c r="T162" s="57"/>
    </row>
    <row r="164" customFormat="false" ht="15" hidden="false" customHeight="false" outlineLevel="0" collapsed="false">
      <c r="P164" s="102"/>
    </row>
  </sheetData>
  <mergeCells count="8">
    <mergeCell ref="P2:Q2"/>
    <mergeCell ref="V4:W4"/>
    <mergeCell ref="B5:C5"/>
    <mergeCell ref="B6:C6"/>
    <mergeCell ref="B24:C24"/>
    <mergeCell ref="B40:C40"/>
    <mergeCell ref="P55:Q55"/>
    <mergeCell ref="B58:C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16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pane xSplit="0" ySplit="4" topLeftCell="A5" activePane="bottomLeft" state="frozen"/>
      <selection pane="topLeft" activeCell="P1" activeCellId="0" sqref="P1"/>
      <selection pane="bottom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.57"/>
    <col collapsed="false" customWidth="true" hidden="false" outlineLevel="0" max="5" min="4" style="0" width="22"/>
    <col collapsed="false" customWidth="true" hidden="false" outlineLevel="0" max="6" min="6" style="0" width="31.71"/>
    <col collapsed="false" customWidth="true" hidden="false" outlineLevel="0" max="7" min="7" style="0" width="20.71"/>
    <col collapsed="false" customWidth="true" hidden="false" outlineLevel="0" max="8" min="8" style="0" width="30.71"/>
    <col collapsed="false" customWidth="true" hidden="false" outlineLevel="0" max="9" min="9" style="0" width="29.86"/>
    <col collapsed="false" customWidth="true" hidden="false" outlineLevel="0" max="10" min="10" style="1" width="48.71"/>
    <col collapsed="false" customWidth="true" hidden="false" outlineLevel="0" max="11" min="11" style="2" width="16.85"/>
    <col collapsed="false" customWidth="true" hidden="false" outlineLevel="0" max="13" min="13" style="1" width="48.71"/>
    <col collapsed="false" customWidth="true" hidden="false" outlineLevel="0" max="14" min="14" style="0" width="16.57"/>
    <col collapsed="false" customWidth="true" hidden="false" outlineLevel="0" max="15" min="15" style="0" width="9.14"/>
    <col collapsed="false" customWidth="true" hidden="false" outlineLevel="0" max="16" min="16" style="0" width="29.86"/>
    <col collapsed="false" customWidth="true" hidden="false" outlineLevel="0" max="17" min="17" style="0" width="28.3"/>
    <col collapsed="false" customWidth="true" hidden="false" outlineLevel="0" max="18" min="18" style="0" width="29.42"/>
    <col collapsed="false" customWidth="true" hidden="false" outlineLevel="0" max="19" min="19" style="3" width="21.71"/>
    <col collapsed="false" customWidth="true" hidden="false" outlineLevel="0" max="20" min="20" style="0" width="22.85"/>
    <col collapsed="false" customWidth="true" hidden="false" outlineLevel="0" max="21" min="21" style="0" width="22"/>
    <col collapsed="false" customWidth="true" hidden="false" outlineLevel="0" max="24" min="24" style="0" width="18.14"/>
  </cols>
  <sheetData>
    <row r="2" customFormat="false" ht="19.5" hidden="false" customHeight="false" outlineLevel="0" collapsed="false">
      <c r="B2" s="4"/>
      <c r="C2" s="4"/>
      <c r="J2" s="5" t="s">
        <v>0</v>
      </c>
      <c r="M2" s="5" t="s">
        <v>1</v>
      </c>
      <c r="P2" s="6" t="s">
        <v>2</v>
      </c>
      <c r="Q2" s="6"/>
    </row>
    <row r="3" customFormat="false" ht="113.25" hidden="false" customHeight="false" outlineLevel="0" collapsed="false">
      <c r="B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  <c r="M3" s="9" t="s">
        <v>11</v>
      </c>
      <c r="P3" s="5" t="s">
        <v>12</v>
      </c>
      <c r="AA3" s="4"/>
      <c r="AB3" s="4"/>
      <c r="AC3" s="4"/>
    </row>
    <row r="4" customFormat="false" ht="29.25" hidden="false" customHeight="true" outlineLevel="0" collapsed="false">
      <c r="B4" s="103" t="n">
        <f aca="false">(F4+P162)/K11</f>
        <v>2.05082763739099</v>
      </c>
      <c r="C4" s="33"/>
      <c r="D4" s="104" t="n">
        <f aca="false">Q42</f>
        <v>39128556.4137913</v>
      </c>
      <c r="E4" s="104" t="n">
        <f aca="false">P162*K104</f>
        <v>69018450.2092743</v>
      </c>
      <c r="F4" s="104" t="n">
        <f aca="false">P58+P88+P115+P135+P143+P151</f>
        <v>244699221.613846</v>
      </c>
      <c r="G4" s="104" t="n">
        <f aca="false">F4/K11</f>
        <v>2.02230761664335</v>
      </c>
      <c r="H4" s="104" t="n">
        <f aca="false">(D4/K104) +F4</f>
        <v>246655649.434535</v>
      </c>
      <c r="I4" s="104" t="n">
        <f aca="false">H4/K11</f>
        <v>2.03847644160773</v>
      </c>
      <c r="J4" s="1" t="s">
        <v>13</v>
      </c>
      <c r="K4" s="14" t="n">
        <f aca="false">199999999</f>
        <v>199999999</v>
      </c>
      <c r="M4" s="1" t="s">
        <v>14</v>
      </c>
      <c r="N4" s="11" t="n">
        <v>50000</v>
      </c>
      <c r="P4" s="15" t="s">
        <v>15</v>
      </c>
      <c r="Q4" s="16" t="s">
        <v>16</v>
      </c>
      <c r="R4" s="16" t="s">
        <v>17</v>
      </c>
      <c r="S4" s="17" t="s">
        <v>18</v>
      </c>
      <c r="T4" s="16" t="s">
        <v>19</v>
      </c>
      <c r="U4" s="16" t="s">
        <v>20</v>
      </c>
      <c r="V4" s="18" t="s">
        <v>21</v>
      </c>
      <c r="W4" s="18"/>
      <c r="X4" s="19"/>
    </row>
    <row r="5" customFormat="false" ht="15" hidden="false" customHeight="false" outlineLevel="0" collapsed="false">
      <c r="B5" s="20" t="s">
        <v>22</v>
      </c>
      <c r="C5" s="20"/>
      <c r="J5" s="1" t="s">
        <v>23</v>
      </c>
      <c r="K5" s="2" t="n">
        <v>2</v>
      </c>
      <c r="N5" s="11"/>
      <c r="P5" s="21" t="n">
        <f aca="false">K4*1000*K5</f>
        <v>399999998000</v>
      </c>
      <c r="Q5" s="22" t="n">
        <f aca="false">K6*1000*K7</f>
        <v>39999999800000</v>
      </c>
      <c r="R5" s="23" t="n">
        <f aca="false">IF(Q5&lt; P5,("Invalid input"),((LN(Q5/P5))/(LN(2)))*K26)</f>
        <v>53.1508495181978</v>
      </c>
      <c r="S5" s="23" t="n">
        <f aca="false">IF(Q5&lt;P5,("Invalid input"),((LN(U5/T5))/(LN(2)))*K26)</f>
        <v>53.1508495181978</v>
      </c>
      <c r="T5" s="22" t="n">
        <f aca="false">IF(Q5&lt;P5,("Invalid input"),Q5)</f>
        <v>39999999800000</v>
      </c>
      <c r="U5" s="22" t="n">
        <f aca="false">K10*1000*K9</f>
        <v>3999999980000000</v>
      </c>
      <c r="V5" s="24" t="n">
        <v>0</v>
      </c>
      <c r="W5" s="25" t="n">
        <f aca="false">IF($U$5&gt;((2^(V5/$K$26))*$T$5),(2^(V5/$K$26))*$T$5, ("N/A"))</f>
        <v>39999999800000</v>
      </c>
      <c r="X5" s="22"/>
    </row>
    <row r="6" customFormat="false" ht="15" hidden="false" customHeight="true" outlineLevel="0" collapsed="false">
      <c r="B6" s="26" t="s">
        <v>24</v>
      </c>
      <c r="C6" s="26"/>
      <c r="J6" s="1" t="s">
        <v>25</v>
      </c>
      <c r="K6" s="2" t="n">
        <v>200</v>
      </c>
      <c r="P6" s="27"/>
      <c r="Q6" s="24"/>
      <c r="R6" s="28"/>
      <c r="S6" s="22"/>
      <c r="T6" s="24"/>
      <c r="U6" s="24"/>
      <c r="V6" s="28" t="n">
        <f aca="false">IF(V5+$K$26&lt;=$S$5,V5+$K$26,IF(V5=("N/A"),("N/A"),$S$5))</f>
        <v>8</v>
      </c>
      <c r="W6" s="25" t="n">
        <f aca="false">IF(($U$5)&gt;((2^(V6/$K$26))*$T$5),(2^(V6/$K$26))*$T$5, "N/A")</f>
        <v>79999999600000</v>
      </c>
      <c r="X6" s="24"/>
    </row>
    <row r="7" customFormat="false" ht="15" hidden="false" customHeight="false" outlineLevel="0" collapsed="false">
      <c r="B7" s="29" t="s">
        <v>26</v>
      </c>
      <c r="C7" s="30" t="n">
        <v>0.361963534320409</v>
      </c>
      <c r="J7" s="1" t="s">
        <v>27</v>
      </c>
      <c r="K7" s="14" t="n">
        <f aca="false">199999999</f>
        <v>199999999</v>
      </c>
      <c r="P7" s="27"/>
      <c r="Q7" s="24"/>
      <c r="R7" s="28"/>
      <c r="S7" s="22"/>
      <c r="T7" s="24"/>
      <c r="U7" s="24"/>
      <c r="V7" s="28" t="n">
        <f aca="false">IF(V6+$K$26&lt;=$S$5,V6+$K$26,IF(V6=("N/A"),("N/A"),$S$5))</f>
        <v>16</v>
      </c>
      <c r="W7" s="25" t="n">
        <f aca="false">IF(($U$5)&gt;((2^(V7/$K$26))*$T$5),(2^(V7/$K$26))*$T$5, "N/A")</f>
        <v>159999999200000</v>
      </c>
      <c r="X7" s="24"/>
    </row>
    <row r="8" customFormat="false" ht="15" hidden="false" customHeight="false" outlineLevel="0" collapsed="false">
      <c r="B8" s="27" t="s">
        <v>28</v>
      </c>
      <c r="C8" s="31" t="n">
        <v>0.333333333333333</v>
      </c>
      <c r="J8" s="1" t="s">
        <v>29</v>
      </c>
      <c r="K8" s="2" t="n">
        <v>20</v>
      </c>
      <c r="P8" s="27"/>
      <c r="Q8" s="24"/>
      <c r="R8" s="28"/>
      <c r="S8" s="22"/>
      <c r="T8" s="24"/>
      <c r="U8" s="24"/>
      <c r="V8" s="28" t="n">
        <f aca="false">IF(V7+$K$26&lt;=$S$5,V7+$K$26,IF(V7=("N/A"),("N/A"),$S$5))</f>
        <v>24</v>
      </c>
      <c r="W8" s="25" t="n">
        <f aca="false">IF(($U$5)&gt;((2^(V8/$K$26))*$T$5),(2^(V8/$K$26))*$T$5, "N/A")</f>
        <v>319999998400000</v>
      </c>
      <c r="X8" s="24"/>
    </row>
    <row r="9" customFormat="false" ht="15" hidden="false" customHeight="false" outlineLevel="0" collapsed="false">
      <c r="B9" s="27" t="s">
        <v>30</v>
      </c>
      <c r="C9" s="31" t="n">
        <v>0.333333333333333</v>
      </c>
      <c r="J9" s="1" t="s">
        <v>31</v>
      </c>
      <c r="K9" s="2" t="n">
        <f aca="false">K8*1000</f>
        <v>20000</v>
      </c>
      <c r="P9" s="27"/>
      <c r="Q9" s="24"/>
      <c r="R9" s="28"/>
      <c r="S9" s="22"/>
      <c r="T9" s="24"/>
      <c r="U9" s="24"/>
      <c r="V9" s="28" t="n">
        <f aca="false">IF(V8+$K$26&lt;=$S$5,V8+$K$26,IF(V8=("N/A"),("N/A"),$S$5))</f>
        <v>32</v>
      </c>
      <c r="W9" s="25" t="n">
        <f aca="false">IF(($U$5)&gt;((2^(V9/$K$26))*$T$5),(2^(V9/$K$26))*$T$5, "N/A")</f>
        <v>639999996800000</v>
      </c>
      <c r="X9" s="24"/>
    </row>
    <row r="10" customFormat="false" ht="15" hidden="false" customHeight="false" outlineLevel="0" collapsed="false">
      <c r="B10" s="27" t="s">
        <v>32</v>
      </c>
      <c r="C10" s="31" t="n">
        <v>0.333333333333333</v>
      </c>
      <c r="J10" s="1" t="s">
        <v>33</v>
      </c>
      <c r="K10" s="14" t="n">
        <f aca="false">199999999</f>
        <v>199999999</v>
      </c>
      <c r="M10" s="9" t="s">
        <v>34</v>
      </c>
      <c r="P10" s="27"/>
      <c r="Q10" s="24"/>
      <c r="R10" s="28"/>
      <c r="S10" s="22"/>
      <c r="T10" s="24"/>
      <c r="U10" s="24"/>
      <c r="V10" s="28" t="n">
        <f aca="false">IF(V9+$K$26&lt;=$S$5,V9+$K$26,IF(V9=("N/A"),("N/A"),$S$5))</f>
        <v>40</v>
      </c>
      <c r="W10" s="25" t="n">
        <f aca="false">IF(($U$5)&gt;((2^(V10/$K$26))*$T$5),(2^(V10/$K$26))*$T$5, "N/A")</f>
        <v>1279999993600000</v>
      </c>
      <c r="X10" s="24"/>
    </row>
    <row r="11" customFormat="false" ht="15" hidden="false" customHeight="false" outlineLevel="0" collapsed="false">
      <c r="B11" s="27" t="s">
        <v>31</v>
      </c>
      <c r="C11" s="31" t="n">
        <v>0.309570443988403</v>
      </c>
      <c r="J11" s="105" t="s">
        <v>35</v>
      </c>
      <c r="K11" s="32" t="n">
        <v>121000000</v>
      </c>
      <c r="M11" s="1" t="s">
        <v>36</v>
      </c>
      <c r="N11" s="33" t="n">
        <v>0.24</v>
      </c>
      <c r="P11" s="27"/>
      <c r="Q11" s="24"/>
      <c r="R11" s="28"/>
      <c r="S11" s="22"/>
      <c r="T11" s="24"/>
      <c r="U11" s="24"/>
      <c r="V11" s="28" t="n">
        <f aca="false">IF(V10+$K$26&lt;=$S$5,V10+$K$26,IF(V10=("N/A"),("N/A"),$S$5))</f>
        <v>48</v>
      </c>
      <c r="W11" s="25" t="n">
        <f aca="false">IF(($U$5)&gt;((2^(V11/$K$26))*$T$5),(2^(V11/$K$26))*$T$5, "N/A")</f>
        <v>2559999987200000</v>
      </c>
      <c r="X11" s="24"/>
    </row>
    <row r="12" customFormat="false" ht="15" hidden="false" customHeight="false" outlineLevel="0" collapsed="false">
      <c r="B12" s="27" t="s">
        <v>33</v>
      </c>
      <c r="C12" s="31" t="n">
        <v>0.309570443988403</v>
      </c>
      <c r="F12" s="34"/>
      <c r="J12" s="1" t="s">
        <v>37</v>
      </c>
      <c r="K12" s="2" t="n">
        <v>1.29</v>
      </c>
      <c r="M12" s="1" t="s">
        <v>38</v>
      </c>
      <c r="N12" s="11" t="n">
        <v>0</v>
      </c>
      <c r="P12" s="27"/>
      <c r="Q12" s="24"/>
      <c r="R12" s="28"/>
      <c r="S12" s="22"/>
      <c r="T12" s="24"/>
      <c r="U12" s="24"/>
      <c r="V12" s="28" t="n">
        <f aca="false">IF(V11+$K$26&lt;=$S$5,V11+$K$26,IF(V11=("N/A"),("N/A"),$S$5))</f>
        <v>53.1508495181978</v>
      </c>
      <c r="W12" s="25" t="str">
        <f aca="false">IF(($U$5)&gt;((2^(V12/$K$26))*$T$5),(2^(V12/$K$26))*$T$5, "N/A")</f>
        <v>N/A</v>
      </c>
      <c r="X12" s="24"/>
    </row>
    <row r="13" customFormat="false" ht="15" hidden="false" customHeight="false" outlineLevel="0" collapsed="false">
      <c r="B13" s="27" t="s">
        <v>14</v>
      </c>
      <c r="C13" s="31" t="n">
        <v>0.25</v>
      </c>
      <c r="J13" s="1" t="s">
        <v>39</v>
      </c>
      <c r="K13" s="2" t="n">
        <v>2</v>
      </c>
      <c r="M13" s="1" t="s">
        <v>40</v>
      </c>
      <c r="N13" s="11" t="n">
        <v>0</v>
      </c>
      <c r="P13" s="27"/>
      <c r="Q13" s="24"/>
      <c r="R13" s="24"/>
      <c r="S13" s="22"/>
      <c r="T13" s="24"/>
      <c r="U13" s="24"/>
      <c r="V13" s="28" t="n">
        <f aca="false">IF(V12+$K$26&lt;=$S$5,V12+$K$26,IF(V12=("N/A"),("N/A"),$S$5))</f>
        <v>53.1508495181978</v>
      </c>
      <c r="W13" s="25" t="str">
        <f aca="false">IF(($U$5)&gt;((2^(V13/$K$26))*$T$5),(2^(V13/$K$26))*$T$5, "N/A")</f>
        <v>N/A</v>
      </c>
      <c r="X13" s="24"/>
    </row>
    <row r="14" customFormat="false" ht="15.75" hidden="false" customHeight="false" outlineLevel="0" collapsed="false">
      <c r="B14" s="27" t="s">
        <v>37</v>
      </c>
      <c r="C14" s="31" t="n">
        <v>0.25</v>
      </c>
      <c r="F14" s="2"/>
      <c r="J14" s="74" t="s">
        <v>41</v>
      </c>
      <c r="K14" s="2" t="n">
        <v>24</v>
      </c>
      <c r="M14" s="1" t="s">
        <v>42</v>
      </c>
      <c r="N14" s="11" t="n">
        <v>0</v>
      </c>
      <c r="P14" s="27"/>
      <c r="Q14" s="24"/>
      <c r="R14" s="24"/>
      <c r="S14" s="22"/>
      <c r="T14" s="24"/>
      <c r="U14" s="24"/>
      <c r="V14" s="28" t="n">
        <f aca="false">IF(V13+$K$26&lt;=$S$5,V13+$K$26,IF(V13=("N/A"),("N/A"),$S$5))</f>
        <v>53.1508495181978</v>
      </c>
      <c r="W14" s="25" t="str">
        <f aca="false">IF(($U$5)&gt;((2^(V14/$K$26))*$T$5),(2^(V14/$K$26))*$T$5, "N/A")</f>
        <v>N/A</v>
      </c>
      <c r="X14" s="24"/>
    </row>
    <row r="15" customFormat="false" ht="15.75" hidden="false" customHeight="false" outlineLevel="0" collapsed="false">
      <c r="B15" s="27" t="s">
        <v>43</v>
      </c>
      <c r="C15" s="31" t="n">
        <v>0.25</v>
      </c>
      <c r="J15" s="74" t="s">
        <v>32</v>
      </c>
      <c r="K15" s="2" t="n">
        <v>8760</v>
      </c>
      <c r="M15" s="1" t="s">
        <v>44</v>
      </c>
      <c r="N15" s="11" t="n">
        <v>0</v>
      </c>
      <c r="P15" s="27"/>
      <c r="Q15" s="24"/>
      <c r="R15" s="24"/>
      <c r="S15" s="22"/>
      <c r="T15" s="24"/>
      <c r="U15" s="24"/>
      <c r="V15" s="28" t="n">
        <f aca="false">IF(V14+$K$26&lt;=$S$5,V14+$K$26,IF(V14=("N/A"),("N/A"),$S$5))</f>
        <v>53.1508495181978</v>
      </c>
      <c r="W15" s="25" t="str">
        <f aca="false">IF(($U$5)&gt;((2^(V15/$K$26))*$T$5),(2^(V15/$K$26))*$T$5, "N/A")</f>
        <v>N/A</v>
      </c>
      <c r="X15" s="24"/>
    </row>
    <row r="16" customFormat="false" ht="15" hidden="false" customHeight="false" outlineLevel="0" collapsed="false">
      <c r="B16" s="27" t="s">
        <v>39</v>
      </c>
      <c r="C16" s="31" t="n">
        <v>0.25</v>
      </c>
      <c r="J16" s="1" t="s">
        <v>26</v>
      </c>
      <c r="K16" s="2" t="n">
        <v>0.6</v>
      </c>
      <c r="M16" s="1" t="s">
        <v>45</v>
      </c>
      <c r="N16" s="11" t="n">
        <v>0</v>
      </c>
      <c r="P16" s="27"/>
      <c r="Q16" s="24"/>
      <c r="R16" s="24"/>
      <c r="S16" s="22"/>
      <c r="T16" s="24"/>
      <c r="U16" s="24"/>
      <c r="V16" s="28" t="n">
        <f aca="false">IF(V15+$K$26&lt;=$S$5,V15+$K$26,IF(V15=("N/A"),("N/A"),$S$5))</f>
        <v>53.1508495181978</v>
      </c>
      <c r="W16" s="25" t="str">
        <f aca="false">IF(($U$5)&gt;((2^(V16/$K$26))*$T$5),(2^(V16/$K$26))*$T$5, "N/A")</f>
        <v>N/A</v>
      </c>
      <c r="X16" s="24"/>
    </row>
    <row r="17" customFormat="false" ht="15" hidden="false" customHeight="true" outlineLevel="0" collapsed="false">
      <c r="B17" s="27" t="s">
        <v>29</v>
      </c>
      <c r="C17" s="31" t="n">
        <v>0.15853364091535</v>
      </c>
      <c r="J17" s="1" t="s">
        <v>46</v>
      </c>
      <c r="K17" s="2" t="n">
        <v>0.5</v>
      </c>
      <c r="M17" s="1" t="s">
        <v>47</v>
      </c>
      <c r="N17" s="11" t="n">
        <v>0</v>
      </c>
      <c r="P17" s="106"/>
      <c r="Q17" s="107"/>
      <c r="R17" s="107"/>
      <c r="S17" s="22"/>
      <c r="T17" s="24"/>
      <c r="U17" s="24"/>
      <c r="V17" s="28" t="n">
        <f aca="false">IF(V16+$K$26&lt;=$S$5,V16+$K$26,IF(V16=("N/A"),("N/A"),$S$5))</f>
        <v>53.1508495181978</v>
      </c>
      <c r="W17" s="25" t="str">
        <f aca="false">IF(($U$5)&gt;((2^(V17/$K$26))*$T$5),(2^(V17/$K$26))*$T$5, "N/A")</f>
        <v>N/A</v>
      </c>
      <c r="X17" s="24"/>
    </row>
    <row r="18" customFormat="false" ht="15" hidden="false" customHeight="false" outlineLevel="0" collapsed="false">
      <c r="B18" s="27" t="s">
        <v>48</v>
      </c>
      <c r="C18" s="31" t="n">
        <v>0.142647248503661</v>
      </c>
      <c r="J18" s="1" t="s">
        <v>49</v>
      </c>
      <c r="K18" s="2" t="n">
        <v>0.15</v>
      </c>
      <c r="M18" s="1" t="s">
        <v>50</v>
      </c>
      <c r="N18" s="11" t="n">
        <v>0</v>
      </c>
      <c r="P18" s="106"/>
      <c r="Q18" s="107"/>
      <c r="R18" s="107"/>
      <c r="S18" s="22"/>
      <c r="T18" s="24"/>
      <c r="U18" s="24"/>
      <c r="V18" s="28" t="n">
        <f aca="false">IF(V17+$K$26&lt;=$S$5,V17+$K$26,IF(V17=("N/A"),("N/A"),$S$5))</f>
        <v>53.1508495181978</v>
      </c>
      <c r="W18" s="25" t="str">
        <f aca="false">IF(($U$5)&gt;((2^(V18/$K$26))*$T$5),(2^(V18/$K$26))*$T$5, "N/A")</f>
        <v>N/A</v>
      </c>
      <c r="X18" s="24"/>
    </row>
    <row r="19" customFormat="false" ht="13.5" hidden="false" customHeight="true" outlineLevel="0" collapsed="false">
      <c r="B19" s="27" t="s">
        <v>41</v>
      </c>
      <c r="C19" s="31" t="n">
        <v>0.107352751496339</v>
      </c>
      <c r="K19" s="2" t="n">
        <v>20</v>
      </c>
      <c r="N19" s="11"/>
      <c r="P19" s="36" t="s">
        <v>51</v>
      </c>
      <c r="Q19" s="38" t="n">
        <f aca="false">S5</f>
        <v>53.1508495181978</v>
      </c>
      <c r="R19" s="107"/>
      <c r="S19" s="22"/>
      <c r="T19" s="24"/>
      <c r="U19" s="24"/>
      <c r="V19" s="28" t="n">
        <f aca="false">IF(V18+$K$26&lt;=$S$5,V18+$K$26,IF(V18=("N/A"),("N/A"),$S$5))</f>
        <v>53.1508495181978</v>
      </c>
      <c r="W19" s="25" t="str">
        <f aca="false">IF(($U$5)&gt;((2^(V19/$K$26))*$T$5),(2^(V19/$K$26))*$T$5, "N/A")</f>
        <v>N/A</v>
      </c>
      <c r="X19" s="24"/>
    </row>
    <row r="20" customFormat="false" ht="15.75" hidden="false" customHeight="false" outlineLevel="0" collapsed="false">
      <c r="B20" s="27" t="s">
        <v>13</v>
      </c>
      <c r="C20" s="31" t="n">
        <v>0.0178221670086974</v>
      </c>
      <c r="N20" s="11"/>
      <c r="P20" s="39" t="s">
        <v>52</v>
      </c>
      <c r="Q20" s="40" t="n">
        <f aca="false">Q19+K14</f>
        <v>77.1508495181978</v>
      </c>
      <c r="R20" s="43"/>
      <c r="S20" s="42"/>
      <c r="T20" s="43"/>
      <c r="U20" s="43"/>
      <c r="V20" s="43"/>
      <c r="W20" s="44"/>
      <c r="X20" s="24"/>
    </row>
    <row r="21" customFormat="false" ht="15.75" hidden="false" customHeight="false" outlineLevel="0" collapsed="false">
      <c r="B21" s="45" t="s">
        <v>23</v>
      </c>
      <c r="C21" s="46" t="n">
        <v>0.0178221670086974</v>
      </c>
      <c r="N21" s="11"/>
      <c r="P21" s="47"/>
      <c r="Q21" s="28"/>
      <c r="R21" s="24"/>
      <c r="S21" s="22"/>
      <c r="T21" s="24"/>
      <c r="U21" s="24"/>
      <c r="V21" s="24"/>
      <c r="W21" s="22"/>
    </row>
    <row r="22" customFormat="false" ht="15" hidden="false" customHeight="false" outlineLevel="0" collapsed="false">
      <c r="N22" s="11"/>
      <c r="P22" s="47"/>
      <c r="Q22" s="28"/>
      <c r="R22" s="24"/>
      <c r="S22" s="22"/>
      <c r="T22" s="24"/>
      <c r="U22" s="24"/>
      <c r="V22" s="24"/>
      <c r="W22" s="22"/>
    </row>
    <row r="23" customFormat="false" ht="15.75" hidden="false" customHeight="false" outlineLevel="0" collapsed="false">
      <c r="J23" s="9" t="s">
        <v>53</v>
      </c>
      <c r="N23" s="11"/>
      <c r="P23" s="5" t="s">
        <v>54</v>
      </c>
      <c r="V23" s="24"/>
      <c r="W23" s="22"/>
    </row>
    <row r="24" customFormat="false" ht="30.75" hidden="false" customHeight="true" outlineLevel="0" collapsed="false">
      <c r="B24" s="26" t="s">
        <v>55</v>
      </c>
      <c r="C24" s="26"/>
      <c r="J24" s="1" t="s">
        <v>28</v>
      </c>
      <c r="K24" s="14" t="n">
        <v>5E-015</v>
      </c>
      <c r="N24" s="11"/>
      <c r="P24" s="15" t="s">
        <v>20</v>
      </c>
      <c r="Q24" s="16" t="s">
        <v>56</v>
      </c>
      <c r="R24" s="48" t="s">
        <v>57</v>
      </c>
      <c r="S24" s="17" t="s">
        <v>58</v>
      </c>
      <c r="T24" s="49" t="s">
        <v>59</v>
      </c>
    </row>
    <row r="25" customFormat="false" ht="15" hidden="false" customHeight="false" outlineLevel="0" collapsed="false">
      <c r="B25" s="29" t="s">
        <v>28</v>
      </c>
      <c r="C25" s="30" t="n">
        <v>0.33332362084795</v>
      </c>
      <c r="J25" s="1" t="s">
        <v>30</v>
      </c>
      <c r="K25" s="2" t="n">
        <v>1060</v>
      </c>
      <c r="M25" s="1" t="s">
        <v>60</v>
      </c>
      <c r="N25" s="11" t="n">
        <v>40</v>
      </c>
      <c r="P25" s="27" t="n">
        <f aca="false">K10*1000*K9</f>
        <v>3999999980000000</v>
      </c>
      <c r="Q25" s="50" t="n">
        <f aca="false">IF(P25*K24&lt;K8,(P25*K24),("exceeds bioreactor volume "))</f>
        <v>19.9999999</v>
      </c>
      <c r="R25" s="24" t="n">
        <f aca="false">Q25*K25</f>
        <v>21199.999894</v>
      </c>
      <c r="S25" s="51" t="n">
        <f aca="false">K15/Q20</f>
        <v>113.543791866268</v>
      </c>
      <c r="T25" s="52" t="n">
        <f aca="false">S25*R25</f>
        <v>2407128.37552924</v>
      </c>
    </row>
    <row r="26" customFormat="false" ht="15" hidden="false" customHeight="false" outlineLevel="0" collapsed="false">
      <c r="B26" s="27" t="s">
        <v>30</v>
      </c>
      <c r="C26" s="31" t="n">
        <v>0.33332362084795</v>
      </c>
      <c r="J26" s="1" t="s">
        <v>48</v>
      </c>
      <c r="K26" s="2" t="n">
        <v>8</v>
      </c>
      <c r="P26" s="27"/>
      <c r="Q26" s="24"/>
      <c r="R26" s="24"/>
      <c r="S26" s="22"/>
      <c r="T26" s="53"/>
    </row>
    <row r="27" customFormat="false" ht="15" hidden="false" customHeight="false" outlineLevel="0" collapsed="false">
      <c r="B27" s="27" t="s">
        <v>61</v>
      </c>
      <c r="C27" s="31" t="n">
        <v>0.333309228174975</v>
      </c>
      <c r="J27" s="1" t="s">
        <v>62</v>
      </c>
      <c r="K27" s="14" t="n">
        <v>4.13E-014</v>
      </c>
      <c r="M27" s="9" t="s">
        <v>63</v>
      </c>
      <c r="P27" s="27"/>
      <c r="Q27" s="24"/>
      <c r="R27" s="24"/>
      <c r="S27" s="22"/>
      <c r="T27" s="53"/>
    </row>
    <row r="28" customFormat="false" ht="15" hidden="false" customHeight="false" outlineLevel="0" collapsed="false">
      <c r="B28" s="27" t="s">
        <v>43</v>
      </c>
      <c r="C28" s="31" t="n">
        <v>0.250005455289951</v>
      </c>
      <c r="J28" s="1" t="s">
        <v>64</v>
      </c>
      <c r="K28" s="14" t="n">
        <v>1.8E-014</v>
      </c>
      <c r="M28" s="1" t="s">
        <v>65</v>
      </c>
      <c r="N28" s="33" t="n">
        <v>4.17</v>
      </c>
      <c r="P28" s="27"/>
      <c r="Q28" s="24"/>
      <c r="R28" s="24"/>
      <c r="S28" s="22"/>
      <c r="T28" s="53"/>
    </row>
    <row r="29" customFormat="false" ht="15" hidden="false" customHeight="false" outlineLevel="0" collapsed="false">
      <c r="B29" s="27" t="s">
        <v>62</v>
      </c>
      <c r="C29" s="31" t="n">
        <v>0.249994660332044</v>
      </c>
      <c r="M29" s="1" t="s">
        <v>66</v>
      </c>
      <c r="N29" s="33" t="n">
        <v>1.42</v>
      </c>
      <c r="P29" s="27"/>
      <c r="Q29" s="24"/>
      <c r="R29" s="24"/>
      <c r="S29" s="22"/>
      <c r="T29" s="53"/>
    </row>
    <row r="30" customFormat="false" ht="30" hidden="false" customHeight="false" outlineLevel="0" collapsed="false">
      <c r="B30" s="27" t="s">
        <v>67</v>
      </c>
      <c r="C30" s="31" t="n">
        <v>0.237564574319464</v>
      </c>
      <c r="N30" s="33"/>
      <c r="P30" s="54" t="s">
        <v>68</v>
      </c>
      <c r="Q30" s="55" t="n">
        <f aca="false">K11/T25</f>
        <v>50.2673647280639</v>
      </c>
      <c r="R30" s="24"/>
      <c r="S30" s="22"/>
      <c r="T30" s="53"/>
    </row>
    <row r="31" customFormat="false" ht="15.75" hidden="false" customHeight="false" outlineLevel="0" collapsed="false">
      <c r="B31" s="27" t="s">
        <v>47</v>
      </c>
      <c r="C31" s="31" t="n">
        <v>0.237557294776142</v>
      </c>
      <c r="J31" s="9" t="s">
        <v>69</v>
      </c>
      <c r="N31" s="33"/>
      <c r="P31" s="45" t="s">
        <v>70</v>
      </c>
      <c r="Q31" s="56" t="n">
        <f aca="false">Q30*S25</f>
        <v>5707.54719834906</v>
      </c>
      <c r="R31" s="43"/>
      <c r="S31" s="42"/>
      <c r="T31" s="57"/>
    </row>
    <row r="32" customFormat="false" ht="15.75" hidden="false" customHeight="false" outlineLevel="0" collapsed="false">
      <c r="B32" s="27" t="s">
        <v>41</v>
      </c>
      <c r="C32" s="31" t="n">
        <v>0.221828580707914</v>
      </c>
      <c r="J32" s="1" t="s">
        <v>71</v>
      </c>
      <c r="K32" s="14" t="n">
        <v>0.064</v>
      </c>
      <c r="M32" s="74" t="s">
        <v>72</v>
      </c>
      <c r="N32" s="33" t="n">
        <v>13.68</v>
      </c>
    </row>
    <row r="33" customFormat="false" ht="15.75" hidden="false" customHeight="false" outlineLevel="0" collapsed="false">
      <c r="B33" s="27" t="s">
        <v>25</v>
      </c>
      <c r="C33" s="31" t="n">
        <v>0.0569996039451294</v>
      </c>
      <c r="J33" s="1" t="s">
        <v>73</v>
      </c>
      <c r="K33" s="14" t="n">
        <v>0.543</v>
      </c>
      <c r="N33" s="33"/>
      <c r="P33" s="5" t="s">
        <v>74</v>
      </c>
    </row>
    <row r="34" customFormat="false" ht="15" hidden="false" customHeight="false" outlineLevel="0" collapsed="false">
      <c r="B34" s="27" t="s">
        <v>27</v>
      </c>
      <c r="C34" s="31" t="n">
        <v>0.0569996039451294</v>
      </c>
      <c r="J34" s="1" t="s">
        <v>75</v>
      </c>
      <c r="K34" s="14" t="n">
        <v>1.4E-005</v>
      </c>
      <c r="N34" s="33"/>
      <c r="P34" s="29" t="s">
        <v>76</v>
      </c>
      <c r="Q34" s="48"/>
      <c r="R34" s="58"/>
    </row>
    <row r="35" customFormat="false" ht="30" hidden="false" customHeight="false" outlineLevel="0" collapsed="false">
      <c r="B35" s="27" t="s">
        <v>31</v>
      </c>
      <c r="C35" s="31" t="n">
        <v>0.0375670387596748</v>
      </c>
      <c r="J35" s="1" t="s">
        <v>77</v>
      </c>
      <c r="K35" s="14" t="n">
        <v>0.0194</v>
      </c>
      <c r="M35" s="9" t="s">
        <v>78</v>
      </c>
      <c r="N35" s="33"/>
      <c r="P35" s="27" t="s">
        <v>79</v>
      </c>
      <c r="Q35" s="59" t="s">
        <v>80</v>
      </c>
      <c r="R35" s="60" t="s">
        <v>81</v>
      </c>
    </row>
    <row r="36" customFormat="false" ht="15" hidden="false" customHeight="false" outlineLevel="0" collapsed="false">
      <c r="B36" s="27" t="s">
        <v>33</v>
      </c>
      <c r="C36" s="31" t="n">
        <v>0.0375670387596748</v>
      </c>
      <c r="J36" s="1" t="s">
        <v>82</v>
      </c>
      <c r="K36" s="14" t="n">
        <v>0.0107</v>
      </c>
      <c r="M36" s="1" t="s">
        <v>83</v>
      </c>
      <c r="N36" s="33" t="n">
        <v>0.63</v>
      </c>
      <c r="P36" s="61" t="n">
        <f aca="false">Q30</f>
        <v>50.2673647280639</v>
      </c>
      <c r="Q36" s="62" t="n">
        <f aca="false">P36* K12*N4*(K8^K16)</f>
        <v>19564278.2068956</v>
      </c>
      <c r="R36" s="63" t="n">
        <f aca="false">Q36*K13</f>
        <v>39128556.4137913</v>
      </c>
    </row>
    <row r="37" customFormat="false" ht="15.75" hidden="false" customHeight="false" outlineLevel="0" collapsed="false">
      <c r="B37" s="45" t="s">
        <v>48</v>
      </c>
      <c r="C37" s="46" t="n">
        <v>0.0281841536721815</v>
      </c>
      <c r="J37" s="1" t="s">
        <v>67</v>
      </c>
      <c r="K37" s="14" t="n">
        <v>0</v>
      </c>
      <c r="M37" s="1" t="s">
        <v>84</v>
      </c>
      <c r="N37" s="33" t="n">
        <v>0.51</v>
      </c>
      <c r="P37" s="27"/>
      <c r="Q37" s="24"/>
      <c r="R37" s="53"/>
    </row>
    <row r="38" customFormat="false" ht="15" hidden="false" customHeight="false" outlineLevel="0" collapsed="false">
      <c r="C38" s="64"/>
      <c r="J38" s="1" t="s">
        <v>85</v>
      </c>
      <c r="K38" s="14" t="n">
        <v>2E-006</v>
      </c>
      <c r="M38" s="1" t="s">
        <v>86</v>
      </c>
      <c r="N38" s="33" t="n">
        <v>0.57</v>
      </c>
      <c r="P38" s="27"/>
      <c r="Q38" s="24"/>
      <c r="R38" s="53"/>
    </row>
    <row r="39" customFormat="false" ht="15" hidden="false" customHeight="false" outlineLevel="0" collapsed="false">
      <c r="C39" s="64"/>
      <c r="J39" s="1" t="s">
        <v>61</v>
      </c>
      <c r="K39" s="14" t="n">
        <v>0.0356</v>
      </c>
      <c r="P39" s="27"/>
      <c r="Q39" s="65"/>
      <c r="R39" s="60"/>
    </row>
    <row r="40" customFormat="false" ht="15.75" hidden="false" customHeight="false" outlineLevel="0" collapsed="false">
      <c r="B40" s="66" t="s">
        <v>87</v>
      </c>
      <c r="C40" s="66"/>
      <c r="J40" s="1" t="s">
        <v>88</v>
      </c>
      <c r="K40" s="2" t="n">
        <v>1</v>
      </c>
      <c r="P40" s="27"/>
      <c r="Q40" s="62"/>
      <c r="R40" s="63"/>
    </row>
    <row r="41" customFormat="false" ht="15" hidden="false" customHeight="false" outlineLevel="0" collapsed="false">
      <c r="B41" s="29" t="s">
        <v>26</v>
      </c>
      <c r="C41" s="67" t="n">
        <v>0.56730853766308</v>
      </c>
      <c r="J41" s="1" t="s">
        <v>89</v>
      </c>
      <c r="K41" s="68" t="n">
        <v>0.02</v>
      </c>
      <c r="P41" s="27"/>
      <c r="Q41" s="24"/>
      <c r="R41" s="53"/>
    </row>
    <row r="42" customFormat="false" ht="15.75" hidden="false" customHeight="false" outlineLevel="0" collapsed="false">
      <c r="B42" s="27" t="s">
        <v>14</v>
      </c>
      <c r="C42" s="69" t="n">
        <v>0.25</v>
      </c>
      <c r="J42" s="1" t="s">
        <v>90</v>
      </c>
      <c r="K42" s="70" t="n">
        <v>0.032</v>
      </c>
      <c r="P42" s="45" t="s">
        <v>91</v>
      </c>
      <c r="Q42" s="71" t="n">
        <f aca="false">R36</f>
        <v>39128556.4137913</v>
      </c>
      <c r="R42" s="57"/>
    </row>
    <row r="43" customFormat="false" ht="15" hidden="false" customHeight="false" outlineLevel="0" collapsed="false">
      <c r="B43" s="27" t="s">
        <v>39</v>
      </c>
      <c r="C43" s="69" t="n">
        <v>0.25</v>
      </c>
      <c r="J43" s="9" t="s">
        <v>92</v>
      </c>
      <c r="P43" s="24"/>
      <c r="Q43" s="24"/>
      <c r="R43" s="24"/>
    </row>
    <row r="44" customFormat="false" ht="15" hidden="false" customHeight="false" outlineLevel="0" collapsed="false">
      <c r="B44" s="27" t="s">
        <v>37</v>
      </c>
      <c r="C44" s="69" t="n">
        <v>0.25</v>
      </c>
      <c r="J44" s="1" t="s">
        <v>93</v>
      </c>
      <c r="K44" s="72" t="n">
        <v>0.85</v>
      </c>
      <c r="P44" s="24"/>
      <c r="Q44" s="24"/>
      <c r="R44" s="24"/>
    </row>
    <row r="45" customFormat="false" ht="15" hidden="false" customHeight="false" outlineLevel="0" collapsed="false">
      <c r="B45" s="27" t="s">
        <v>43</v>
      </c>
      <c r="C45" s="69" t="n">
        <v>0.25</v>
      </c>
      <c r="J45" s="1" t="s">
        <v>94</v>
      </c>
      <c r="K45" s="72" t="n">
        <v>0.5</v>
      </c>
      <c r="P45" s="24"/>
      <c r="Q45" s="24"/>
      <c r="R45" s="24"/>
    </row>
    <row r="46" customFormat="false" ht="15" hidden="false" customHeight="false" outlineLevel="0" collapsed="false">
      <c r="B46" s="27" t="s">
        <v>28</v>
      </c>
      <c r="C46" s="69" t="n">
        <v>0.2</v>
      </c>
      <c r="J46" s="1" t="s">
        <v>95</v>
      </c>
      <c r="K46" s="72" t="n">
        <v>0.5</v>
      </c>
      <c r="P46" s="24"/>
      <c r="Q46" s="24"/>
      <c r="R46" s="24"/>
    </row>
    <row r="47" customFormat="false" ht="15" hidden="false" customHeight="false" outlineLevel="0" collapsed="false">
      <c r="B47" s="27" t="s">
        <v>30</v>
      </c>
      <c r="C47" s="69" t="n">
        <v>0.2</v>
      </c>
      <c r="J47" s="1" t="s">
        <v>96</v>
      </c>
      <c r="K47" s="72" t="n">
        <v>0</v>
      </c>
      <c r="P47" s="24"/>
      <c r="Q47" s="24"/>
      <c r="R47" s="24"/>
    </row>
    <row r="48" customFormat="false" ht="15" hidden="false" customHeight="false" outlineLevel="0" collapsed="false">
      <c r="B48" s="27" t="s">
        <v>32</v>
      </c>
      <c r="C48" s="69" t="n">
        <v>0.2</v>
      </c>
      <c r="K48" s="72"/>
      <c r="P48" s="24"/>
      <c r="Q48" s="24"/>
      <c r="R48" s="24"/>
    </row>
    <row r="49" customFormat="false" ht="15" hidden="false" customHeight="false" outlineLevel="0" collapsed="false">
      <c r="B49" s="27" t="s">
        <v>31</v>
      </c>
      <c r="C49" s="69" t="n">
        <v>0.188940842633557</v>
      </c>
      <c r="K49" s="72"/>
      <c r="P49" s="24"/>
      <c r="Q49" s="24"/>
      <c r="R49" s="24"/>
    </row>
    <row r="50" customFormat="false" ht="15" hidden="false" customHeight="false" outlineLevel="0" collapsed="false">
      <c r="B50" s="27" t="s">
        <v>33</v>
      </c>
      <c r="C50" s="69" t="n">
        <v>0.188940842633557</v>
      </c>
      <c r="J50" s="9" t="s">
        <v>97</v>
      </c>
      <c r="P50" s="24"/>
      <c r="Q50" s="24"/>
      <c r="R50" s="24"/>
    </row>
    <row r="51" customFormat="false" ht="15" hidden="false" customHeight="false" outlineLevel="0" collapsed="false">
      <c r="B51" s="27" t="s">
        <v>29</v>
      </c>
      <c r="C51" s="69" t="n">
        <v>0.143262629818316</v>
      </c>
      <c r="J51" s="1" t="s">
        <v>98</v>
      </c>
      <c r="K51" s="2" t="n">
        <v>20</v>
      </c>
      <c r="P51" s="24"/>
      <c r="Q51" s="62"/>
      <c r="R51" s="24"/>
    </row>
    <row r="52" customFormat="false" ht="15" hidden="false" customHeight="false" outlineLevel="0" collapsed="false">
      <c r="B52" s="27" t="s">
        <v>48</v>
      </c>
      <c r="C52" s="69" t="n">
        <v>0.14264724850366</v>
      </c>
      <c r="J52" s="1" t="s">
        <v>99</v>
      </c>
      <c r="K52" s="2" t="n">
        <v>37</v>
      </c>
    </row>
    <row r="53" customFormat="false" ht="15" hidden="false" customHeight="false" outlineLevel="0" collapsed="false">
      <c r="B53" s="27" t="s">
        <v>41</v>
      </c>
      <c r="C53" s="69" t="n">
        <v>0.107352751496339</v>
      </c>
      <c r="J53" s="1" t="s">
        <v>100</v>
      </c>
      <c r="K53" s="14" t="n">
        <v>0.00116</v>
      </c>
    </row>
    <row r="54" customFormat="false" ht="15" hidden="false" customHeight="false" outlineLevel="0" collapsed="false">
      <c r="B54" s="27" t="s">
        <v>13</v>
      </c>
      <c r="C54" s="69" t="n">
        <v>0.0138239467080535</v>
      </c>
      <c r="J54" s="1" t="s">
        <v>101</v>
      </c>
      <c r="K54" s="2" t="n">
        <v>1</v>
      </c>
    </row>
    <row r="55" customFormat="false" ht="19.5" hidden="false" customHeight="false" outlineLevel="0" collapsed="false">
      <c r="B55" s="45" t="s">
        <v>23</v>
      </c>
      <c r="C55" s="73" t="n">
        <v>0.0138239467080535</v>
      </c>
      <c r="P55" s="6" t="s">
        <v>102</v>
      </c>
      <c r="Q55" s="6"/>
    </row>
    <row r="56" customFormat="false" ht="15" hidden="false" customHeight="false" outlineLevel="0" collapsed="false">
      <c r="C56" s="72"/>
      <c r="J56" s="1" t="s">
        <v>103</v>
      </c>
      <c r="K56" s="2" t="n">
        <v>0.13</v>
      </c>
    </row>
    <row r="57" customFormat="false" ht="16.5" hidden="false" customHeight="false" outlineLevel="0" collapsed="false">
      <c r="C57" s="72"/>
      <c r="J57" s="1" t="s">
        <v>104</v>
      </c>
      <c r="K57" s="2" t="n">
        <v>1</v>
      </c>
      <c r="M57" s="74"/>
      <c r="P57" s="75" t="s">
        <v>105</v>
      </c>
    </row>
    <row r="58" customFormat="false" ht="15.75" hidden="false" customHeight="false" outlineLevel="0" collapsed="false">
      <c r="B58" s="66" t="s">
        <v>106</v>
      </c>
      <c r="C58" s="66"/>
      <c r="P58" s="76" t="n">
        <f aca="false">Q42*K18</f>
        <v>5869283.46206869</v>
      </c>
    </row>
    <row r="59" customFormat="false" ht="15" hidden="false" customHeight="false" outlineLevel="0" collapsed="false">
      <c r="B59" s="29" t="s">
        <v>43</v>
      </c>
      <c r="C59" s="67" t="n">
        <v>0.249990896203308</v>
      </c>
      <c r="J59" s="1" t="s">
        <v>107</v>
      </c>
      <c r="K59" s="14" t="n">
        <v>0.000622</v>
      </c>
    </row>
    <row r="60" customFormat="false" ht="15" hidden="false" customHeight="false" outlineLevel="0" collapsed="false">
      <c r="B60" s="27" t="s">
        <v>62</v>
      </c>
      <c r="C60" s="69" t="n">
        <v>0.249980101245401</v>
      </c>
      <c r="J60" s="1" t="s">
        <v>108</v>
      </c>
      <c r="K60" s="2" t="n">
        <v>37</v>
      </c>
    </row>
    <row r="61" customFormat="false" ht="15" hidden="false" customHeight="false" outlineLevel="0" collapsed="false">
      <c r="B61" s="27" t="s">
        <v>47</v>
      </c>
      <c r="C61" s="69" t="n">
        <v>0.237557294776143</v>
      </c>
      <c r="J61" s="1" t="s">
        <v>109</v>
      </c>
      <c r="K61" s="2" t="n">
        <v>4</v>
      </c>
    </row>
    <row r="62" customFormat="false" ht="15.75" hidden="false" customHeight="false" outlineLevel="0" collapsed="false">
      <c r="B62" s="27" t="s">
        <v>67</v>
      </c>
      <c r="C62" s="69" t="n">
        <v>0.237550015232821</v>
      </c>
      <c r="J62" s="1" t="s">
        <v>101</v>
      </c>
      <c r="K62" s="2" t="n">
        <v>1</v>
      </c>
      <c r="P62" s="5" t="s">
        <v>110</v>
      </c>
    </row>
    <row r="63" customFormat="false" ht="30" hidden="false" customHeight="false" outlineLevel="0" collapsed="false">
      <c r="B63" s="27" t="s">
        <v>41</v>
      </c>
      <c r="C63" s="69" t="n">
        <v>0.221814021621271</v>
      </c>
      <c r="P63" s="29" t="s">
        <v>111</v>
      </c>
      <c r="Q63" s="48" t="s">
        <v>112</v>
      </c>
      <c r="R63" s="16" t="s">
        <v>113</v>
      </c>
      <c r="S63" s="17" t="s">
        <v>114</v>
      </c>
      <c r="T63" s="49" t="s">
        <v>115</v>
      </c>
    </row>
    <row r="64" customFormat="false" ht="15" hidden="false" customHeight="false" outlineLevel="0" collapsed="false">
      <c r="B64" s="27" t="s">
        <v>28</v>
      </c>
      <c r="C64" s="69" t="n">
        <v>0.200005819778084</v>
      </c>
      <c r="P64" s="27" t="n">
        <f aca="false">$V$5</f>
        <v>0</v>
      </c>
      <c r="Q64" s="22" t="n">
        <f aca="false">$W$5</f>
        <v>39999999800000</v>
      </c>
      <c r="R64" s="22" t="n">
        <f aca="false">IF(ISNUMBER(Q64),($K$27*Q64),("N/A"))</f>
        <v>1.65199999174</v>
      </c>
      <c r="S64" s="22"/>
      <c r="T64" s="25" t="n">
        <f aca="false">SUM(S65:S78)</f>
        <v>1678.43199160784</v>
      </c>
    </row>
    <row r="65" customFormat="false" ht="15" hidden="false" customHeight="false" outlineLevel="0" collapsed="false">
      <c r="B65" s="27" t="s">
        <v>30</v>
      </c>
      <c r="C65" s="69" t="n">
        <v>0.200005819778084</v>
      </c>
      <c r="J65" s="77" t="s">
        <v>116</v>
      </c>
      <c r="P65" s="27" t="n">
        <f aca="false">$V$6</f>
        <v>8</v>
      </c>
      <c r="Q65" s="22" t="n">
        <f aca="false">$W$6</f>
        <v>79999999600000</v>
      </c>
      <c r="R65" s="22" t="n">
        <f aca="false">IF(ISNUMBER(Q65),($K$27*Q65),("N/A"))</f>
        <v>3.30399998348</v>
      </c>
      <c r="S65" s="22" t="n">
        <f aca="false">IF(ISNUMBER(R64),R64*$K$26,("N/A"))</f>
        <v>13.21599993392</v>
      </c>
      <c r="T65" s="25"/>
    </row>
    <row r="66" customFormat="false" ht="15" hidden="false" customHeight="false" outlineLevel="0" collapsed="false">
      <c r="B66" s="27" t="s">
        <v>61</v>
      </c>
      <c r="C66" s="69" t="n">
        <v>0.199997184174299</v>
      </c>
      <c r="J66" s="78" t="s">
        <v>117</v>
      </c>
      <c r="P66" s="27" t="n">
        <f aca="false">$V$7</f>
        <v>16</v>
      </c>
      <c r="Q66" s="22" t="n">
        <f aca="false">$W$7</f>
        <v>159999999200000</v>
      </c>
      <c r="R66" s="22" t="n">
        <f aca="false">IF(ISNUMBER(Q66),($K$27*Q66),("N/A"))</f>
        <v>6.60799996696</v>
      </c>
      <c r="S66" s="22" t="n">
        <f aca="false">IF(ISNUMBER(R65),R65*$K$26,("N/A"))</f>
        <v>26.43199986784</v>
      </c>
      <c r="T66" s="53"/>
    </row>
    <row r="67" customFormat="false" ht="15.75" hidden="false" customHeight="false" outlineLevel="0" collapsed="false">
      <c r="B67" s="27" t="s">
        <v>48</v>
      </c>
      <c r="C67" s="69" t="n">
        <v>0.0281695945855391</v>
      </c>
      <c r="J67" s="74" t="s">
        <v>118</v>
      </c>
      <c r="K67" s="2" t="n">
        <v>0.1</v>
      </c>
      <c r="P67" s="27" t="n">
        <f aca="false">$V$8</f>
        <v>24</v>
      </c>
      <c r="Q67" s="22" t="n">
        <f aca="false">$W$8</f>
        <v>319999998400000</v>
      </c>
      <c r="R67" s="22" t="n">
        <f aca="false">IF(ISNUMBER(Q67),($K$27*Q67),("N/A"))</f>
        <v>13.21599993392</v>
      </c>
      <c r="S67" s="22" t="n">
        <f aca="false">IF(ISNUMBER(R66),R66*$K$26,("N/A"))</f>
        <v>52.86399973568</v>
      </c>
      <c r="T67" s="53"/>
    </row>
    <row r="68" customFormat="false" ht="15.75" hidden="false" customHeight="false" outlineLevel="0" collapsed="false">
      <c r="B68" s="27" t="s">
        <v>25</v>
      </c>
      <c r="C68" s="69" t="n">
        <v>0.0281634371999987</v>
      </c>
      <c r="J68" s="74" t="s">
        <v>119</v>
      </c>
      <c r="K68" s="2" t="n">
        <v>1</v>
      </c>
      <c r="P68" s="27" t="n">
        <f aca="false">$V$9</f>
        <v>32</v>
      </c>
      <c r="Q68" s="22" t="n">
        <f aca="false">$W$9</f>
        <v>639999996800000</v>
      </c>
      <c r="R68" s="22" t="n">
        <f aca="false">IF(ISNUMBER(Q68),($K$27*Q68),("N/A"))</f>
        <v>26.43199986784</v>
      </c>
      <c r="S68" s="22" t="n">
        <f aca="false">IF(ISNUMBER(R67),R67*$K$26,("N/A"))</f>
        <v>105.72799947136</v>
      </c>
      <c r="T68" s="53"/>
    </row>
    <row r="69" customFormat="false" ht="15.75" hidden="false" customHeight="false" outlineLevel="0" collapsed="false">
      <c r="B69" s="27" t="s">
        <v>27</v>
      </c>
      <c r="C69" s="69" t="n">
        <v>0.0281634371999987</v>
      </c>
      <c r="J69" s="74" t="s">
        <v>120</v>
      </c>
      <c r="K69" s="2" t="n">
        <v>0.2</v>
      </c>
      <c r="P69" s="27" t="n">
        <f aca="false">$V$10</f>
        <v>40</v>
      </c>
      <c r="Q69" s="22" t="n">
        <f aca="false">$W$10</f>
        <v>1279999993600000</v>
      </c>
      <c r="R69" s="22" t="n">
        <f aca="false">IF(ISNUMBER(Q69),($K$27*Q69),("N/A"))</f>
        <v>52.86399973568</v>
      </c>
      <c r="S69" s="22" t="n">
        <f aca="false">IF(ISNUMBER(R68),R68*$K$26,("N/A"))</f>
        <v>211.45599894272</v>
      </c>
      <c r="T69" s="53"/>
    </row>
    <row r="70" customFormat="false" ht="15.75" hidden="false" customHeight="false" outlineLevel="0" collapsed="false">
      <c r="B70" s="27" t="s">
        <v>31</v>
      </c>
      <c r="C70" s="69" t="n">
        <v>0.0225520085920447</v>
      </c>
      <c r="J70" s="74" t="s">
        <v>121</v>
      </c>
      <c r="K70" s="2" t="n">
        <v>0.5</v>
      </c>
      <c r="P70" s="27" t="n">
        <f aca="false">$V$11</f>
        <v>48</v>
      </c>
      <c r="Q70" s="22" t="n">
        <f aca="false">$W$11</f>
        <v>2559999987200000</v>
      </c>
      <c r="R70" s="22" t="n">
        <f aca="false">IF(ISNUMBER(Q70),($K$27*Q70),("N/A"))</f>
        <v>105.72799947136</v>
      </c>
      <c r="S70" s="22" t="n">
        <f aca="false">IF(ISNUMBER(R69),R69*$K$26,("N/A"))</f>
        <v>422.91199788544</v>
      </c>
      <c r="T70" s="53"/>
    </row>
    <row r="71" customFormat="false" ht="16.5" hidden="false" customHeight="false" outlineLevel="0" collapsed="false">
      <c r="B71" s="45" t="s">
        <v>33</v>
      </c>
      <c r="C71" s="73" t="n">
        <v>0.0225520085920447</v>
      </c>
      <c r="J71" s="74" t="s">
        <v>122</v>
      </c>
      <c r="K71" s="2" t="n">
        <v>1</v>
      </c>
      <c r="P71" s="27" t="n">
        <f aca="false">$V$12</f>
        <v>53.1508495181978</v>
      </c>
      <c r="Q71" s="22" t="str">
        <f aca="false">$W$12</f>
        <v>N/A</v>
      </c>
      <c r="R71" s="22" t="str">
        <f aca="false">IF(ISNUMBER(Q71),($K$27*Q71),("N/A"))</f>
        <v>N/A</v>
      </c>
      <c r="S71" s="22" t="n">
        <f aca="false">IF(ISNUMBER(R70),R70*$K$26,("N/A"))</f>
        <v>845.82399577088</v>
      </c>
      <c r="T71" s="53"/>
    </row>
    <row r="72" customFormat="false" ht="15.75" hidden="false" customHeight="false" outlineLevel="0" collapsed="false">
      <c r="J72" s="74"/>
      <c r="P72" s="27" t="n">
        <f aca="false">$V$13</f>
        <v>53.1508495181978</v>
      </c>
      <c r="Q72" s="22" t="str">
        <f aca="false">$W$13</f>
        <v>N/A</v>
      </c>
      <c r="R72" s="22" t="str">
        <f aca="false">IF(ISNUMBER(Q72),($K$27*Q72),("N/A"))</f>
        <v>N/A</v>
      </c>
      <c r="S72" s="22" t="str">
        <f aca="false">IF(ISNUMBER(R71),R71*$K$26,("N/A"))</f>
        <v>N/A</v>
      </c>
      <c r="T72" s="53"/>
    </row>
    <row r="73" customFormat="false" ht="15.75" hidden="false" customHeight="false" outlineLevel="0" collapsed="false">
      <c r="J73" s="74"/>
      <c r="P73" s="27" t="n">
        <f aca="false">$V$14</f>
        <v>53.1508495181978</v>
      </c>
      <c r="Q73" s="22" t="str">
        <f aca="false">$W$14</f>
        <v>N/A</v>
      </c>
      <c r="R73" s="22" t="str">
        <f aca="false">IF(ISNUMBER(Q73),($K$27*Q73),("N/A"))</f>
        <v>N/A</v>
      </c>
      <c r="S73" s="22" t="str">
        <f aca="false">IF(ISNUMBER(R72),R72*$K$26,("N/A"))</f>
        <v>N/A</v>
      </c>
      <c r="T73" s="53"/>
    </row>
    <row r="74" customFormat="false" ht="15.75" hidden="false" customHeight="false" outlineLevel="0" collapsed="false">
      <c r="J74" s="74"/>
      <c r="P74" s="27" t="n">
        <f aca="false">$V$15</f>
        <v>53.1508495181978</v>
      </c>
      <c r="Q74" s="22" t="str">
        <f aca="false">$W$15</f>
        <v>N/A</v>
      </c>
      <c r="R74" s="22" t="str">
        <f aca="false">IF(ISNUMBER(Q74),($K$27*Q74),("N/A"))</f>
        <v>N/A</v>
      </c>
      <c r="S74" s="22" t="str">
        <f aca="false">IF(ISNUMBER(R73),R73*$K$26,("N/A"))</f>
        <v>N/A</v>
      </c>
      <c r="T74" s="53"/>
    </row>
    <row r="75" customFormat="false" ht="15.75" hidden="false" customHeight="false" outlineLevel="0" collapsed="false">
      <c r="J75" s="74"/>
      <c r="P75" s="27" t="n">
        <f aca="false">$V$16</f>
        <v>53.1508495181978</v>
      </c>
      <c r="Q75" s="22" t="str">
        <f aca="false">$W$16</f>
        <v>N/A</v>
      </c>
      <c r="R75" s="22" t="str">
        <f aca="false">IF(ISNUMBER(Q75),($K$27*Q75),("N/A"))</f>
        <v>N/A</v>
      </c>
      <c r="S75" s="22" t="str">
        <f aca="false">IF(ISNUMBER(R74),R74*$K$26,("N/A"))</f>
        <v>N/A</v>
      </c>
      <c r="T75" s="53"/>
    </row>
    <row r="76" customFormat="false" ht="15.75" hidden="false" customHeight="false" outlineLevel="0" collapsed="false">
      <c r="J76" s="74"/>
      <c r="P76" s="27" t="n">
        <f aca="false">$V$17</f>
        <v>53.1508495181978</v>
      </c>
      <c r="Q76" s="22" t="str">
        <f aca="false">$W$17</f>
        <v>N/A</v>
      </c>
      <c r="R76" s="22" t="str">
        <f aca="false">IF(ISNUMBER(Q76),($K$27*Q76),("N/A"))</f>
        <v>N/A</v>
      </c>
      <c r="S76" s="22" t="str">
        <f aca="false">IF(ISNUMBER(R75),R75*$K$26,("N/A"))</f>
        <v>N/A</v>
      </c>
      <c r="T76" s="53"/>
    </row>
    <row r="77" customFormat="false" ht="15.75" hidden="false" customHeight="false" outlineLevel="0" collapsed="false">
      <c r="J77" s="74"/>
      <c r="P77" s="27" t="n">
        <f aca="false">$V$18</f>
        <v>53.1508495181978</v>
      </c>
      <c r="Q77" s="22" t="str">
        <f aca="false">$W$18</f>
        <v>N/A</v>
      </c>
      <c r="R77" s="22" t="str">
        <f aca="false">IF(ISNUMBER(Q77),($K$27*Q77),("N/A"))</f>
        <v>N/A</v>
      </c>
      <c r="S77" s="22" t="str">
        <f aca="false">IF(ISNUMBER(R76),R76*$K$26,("N/A"))</f>
        <v>N/A</v>
      </c>
      <c r="T77" s="53"/>
    </row>
    <row r="78" customFormat="false" ht="15.75" hidden="false" customHeight="false" outlineLevel="0" collapsed="false">
      <c r="J78" s="74" t="s">
        <v>123</v>
      </c>
      <c r="K78" s="2" t="n">
        <v>1</v>
      </c>
      <c r="P78" s="27" t="n">
        <f aca="false">$V$19</f>
        <v>53.1508495181978</v>
      </c>
      <c r="Q78" s="22" t="str">
        <f aca="false">$W$19</f>
        <v>N/A</v>
      </c>
      <c r="R78" s="22" t="str">
        <f aca="false">IF(ISNUMBER(Q78),($K$27*Q78),("N/A"))</f>
        <v>N/A</v>
      </c>
      <c r="S78" s="22" t="str">
        <f aca="false">IF(ISNUMBER(R77),R77*$K$26,("N/A"))</f>
        <v>N/A</v>
      </c>
      <c r="T78" s="53"/>
    </row>
    <row r="79" customFormat="false" ht="30" hidden="false" customHeight="false" outlineLevel="0" collapsed="false">
      <c r="J79" s="74" t="s">
        <v>124</v>
      </c>
      <c r="K79" s="2" t="n">
        <v>1</v>
      </c>
      <c r="P79" s="54" t="s">
        <v>125</v>
      </c>
      <c r="Q79" s="59" t="s">
        <v>126</v>
      </c>
      <c r="R79" s="59" t="s">
        <v>127</v>
      </c>
      <c r="S79" s="81" t="s">
        <v>128</v>
      </c>
      <c r="T79" s="82" t="s">
        <v>129</v>
      </c>
    </row>
    <row r="80" customFormat="false" ht="15.75" hidden="false" customHeight="false" outlineLevel="0" collapsed="false">
      <c r="J80" s="74" t="s">
        <v>130</v>
      </c>
      <c r="K80" s="2" t="n">
        <v>0.1</v>
      </c>
      <c r="P80" s="21" t="n">
        <f aca="false">(U5*K27)*K14</f>
        <v>3964.799980176</v>
      </c>
      <c r="Q80" s="22" t="n">
        <f aca="false">T64+P80</f>
        <v>5643.23197178384</v>
      </c>
      <c r="R80" s="28" t="n">
        <f aca="false">K39*K9</f>
        <v>712</v>
      </c>
      <c r="S80" s="51" t="n">
        <f aca="false">Q80/R80</f>
        <v>7.92588760082</v>
      </c>
      <c r="T80" s="83" t="n">
        <f aca="false">S80*K9</f>
        <v>158517.7520164</v>
      </c>
    </row>
    <row r="81" customFormat="false" ht="15" hidden="false" customHeight="false" outlineLevel="0" collapsed="false">
      <c r="P81" s="27"/>
      <c r="Q81" s="24"/>
      <c r="R81" s="24"/>
      <c r="S81" s="22"/>
      <c r="T81" s="25" t="n">
        <f aca="false">Q80*180.156/3.2</f>
        <v>317706.905971465</v>
      </c>
    </row>
    <row r="82" customFormat="false" ht="15.75" hidden="false" customHeight="false" outlineLevel="0" collapsed="false">
      <c r="J82" s="74" t="s">
        <v>131</v>
      </c>
      <c r="P82" s="27" t="s">
        <v>132</v>
      </c>
      <c r="Q82" s="24"/>
      <c r="R82" s="24"/>
      <c r="S82" s="22"/>
      <c r="T82" s="53"/>
    </row>
    <row r="83" customFormat="false" ht="15.75" hidden="false" customHeight="false" outlineLevel="0" collapsed="false">
      <c r="J83" s="74" t="s">
        <v>133</v>
      </c>
      <c r="K83" s="2" t="n">
        <v>1</v>
      </c>
      <c r="P83" s="84" t="n">
        <f aca="false">(K32*N12)+(K33*N13)+(K34*N14)+(K35*N15)+(K36*N16)+(K37*N17)+(K38*N18)+(N11)</f>
        <v>0.24</v>
      </c>
      <c r="Q83" s="2"/>
      <c r="R83" s="24"/>
      <c r="S83" s="22"/>
      <c r="T83" s="53"/>
    </row>
    <row r="84" customFormat="false" ht="15.75" hidden="false" customHeight="false" outlineLevel="0" collapsed="false">
      <c r="J84" s="74" t="s">
        <v>134</v>
      </c>
      <c r="K84" s="2" t="n">
        <v>1.2</v>
      </c>
      <c r="P84" s="27"/>
      <c r="Q84" s="24"/>
      <c r="R84" s="24"/>
      <c r="S84" s="22"/>
      <c r="T84" s="53"/>
    </row>
    <row r="85" customFormat="false" ht="15.75" hidden="false" customHeight="false" outlineLevel="0" collapsed="false">
      <c r="J85" s="74" t="s">
        <v>135</v>
      </c>
      <c r="K85" s="2" t="n">
        <v>0.8</v>
      </c>
      <c r="P85" s="27" t="s">
        <v>136</v>
      </c>
      <c r="Q85" s="24"/>
      <c r="R85" s="24"/>
      <c r="S85" s="22"/>
      <c r="T85" s="53"/>
    </row>
    <row r="86" customFormat="false" ht="15.75" hidden="false" customHeight="false" outlineLevel="0" collapsed="false">
      <c r="J86" s="74" t="s">
        <v>137</v>
      </c>
      <c r="K86" s="2" t="n">
        <v>1.5</v>
      </c>
      <c r="P86" s="85" t="n">
        <f aca="false">T80*Q31</f>
        <v>904747551.409794</v>
      </c>
      <c r="Q86" s="24"/>
      <c r="R86" s="24"/>
      <c r="S86" s="22"/>
      <c r="T86" s="53"/>
    </row>
    <row r="87" customFormat="false" ht="15.75" hidden="false" customHeight="false" outlineLevel="0" collapsed="false">
      <c r="B87" s="86"/>
      <c r="J87" s="74" t="s">
        <v>138</v>
      </c>
      <c r="K87" s="2" t="n">
        <v>1.4</v>
      </c>
      <c r="P87" s="27" t="s">
        <v>139</v>
      </c>
      <c r="Q87" s="24"/>
      <c r="R87" s="24"/>
      <c r="S87" s="22"/>
      <c r="T87" s="53"/>
    </row>
    <row r="88" customFormat="false" ht="16.5" hidden="false" customHeight="false" outlineLevel="0" collapsed="false">
      <c r="J88" s="74" t="s">
        <v>140</v>
      </c>
      <c r="K88" s="2" t="n">
        <v>1.25</v>
      </c>
      <c r="P88" s="87" t="n">
        <f aca="false">P86*P83</f>
        <v>217139412.338351</v>
      </c>
      <c r="Q88" s="43"/>
      <c r="R88" s="43"/>
      <c r="S88" s="42"/>
      <c r="T88" s="57"/>
    </row>
    <row r="90" customFormat="false" ht="16.5" hidden="false" customHeight="false" outlineLevel="0" collapsed="false">
      <c r="J90" s="88" t="s">
        <v>141</v>
      </c>
      <c r="P90" s="5" t="s">
        <v>142</v>
      </c>
    </row>
    <row r="91" customFormat="false" ht="30" hidden="false" customHeight="false" outlineLevel="0" collapsed="false">
      <c r="J91" s="74" t="s">
        <v>118</v>
      </c>
      <c r="K91" s="2" t="n">
        <v>0</v>
      </c>
      <c r="P91" s="15" t="s">
        <v>143</v>
      </c>
      <c r="Q91" s="16" t="s">
        <v>112</v>
      </c>
      <c r="R91" s="16" t="s">
        <v>144</v>
      </c>
      <c r="S91" s="17" t="s">
        <v>145</v>
      </c>
      <c r="T91" s="49" t="s">
        <v>146</v>
      </c>
    </row>
    <row r="92" customFormat="false" ht="15.75" hidden="false" customHeight="false" outlineLevel="0" collapsed="false">
      <c r="J92" s="74" t="s">
        <v>119</v>
      </c>
      <c r="K92" s="2" t="n">
        <v>0</v>
      </c>
      <c r="P92" s="27" t="n">
        <f aca="false">$V$5</f>
        <v>0</v>
      </c>
      <c r="Q92" s="22" t="n">
        <f aca="false">$W$5</f>
        <v>39999999800000</v>
      </c>
      <c r="R92" s="22" t="n">
        <f aca="false">IF(ISNUMBER(Q92),($K$28*Q92),("N/A"))</f>
        <v>0.7199999964</v>
      </c>
      <c r="S92" s="22"/>
      <c r="T92" s="25" t="n">
        <f aca="false">SUM(S93:S106)</f>
        <v>731.5199963424</v>
      </c>
    </row>
    <row r="93" customFormat="false" ht="15.75" hidden="false" customHeight="false" outlineLevel="0" collapsed="false">
      <c r="J93" s="74" t="s">
        <v>120</v>
      </c>
      <c r="K93" s="2" t="n">
        <v>0</v>
      </c>
      <c r="P93" s="27" t="n">
        <f aca="false">$V$6</f>
        <v>8</v>
      </c>
      <c r="Q93" s="22" t="n">
        <f aca="false">$W$6</f>
        <v>79999999600000</v>
      </c>
      <c r="R93" s="22" t="n">
        <f aca="false">IF(ISNUMBER(Q93),($K$28*Q93),("N/A"))</f>
        <v>1.4399999928</v>
      </c>
      <c r="S93" s="22" t="n">
        <f aca="false">IF(ISNUMBER(R92),R92*$K$26,("N/A"))</f>
        <v>5.7599999712</v>
      </c>
      <c r="T93" s="53"/>
    </row>
    <row r="94" customFormat="false" ht="15.75" hidden="false" customHeight="false" outlineLevel="0" collapsed="false">
      <c r="B94" s="86"/>
      <c r="J94" s="74" t="s">
        <v>121</v>
      </c>
      <c r="K94" s="2" t="n">
        <v>0</v>
      </c>
      <c r="P94" s="27" t="n">
        <f aca="false">$V$7</f>
        <v>16</v>
      </c>
      <c r="Q94" s="22" t="n">
        <f aca="false">$W$7</f>
        <v>159999999200000</v>
      </c>
      <c r="R94" s="22" t="n">
        <f aca="false">IF(ISNUMBER(Q94),($K$28*Q94),("N/A"))</f>
        <v>2.8799999856</v>
      </c>
      <c r="S94" s="22" t="n">
        <f aca="false">IF(ISNUMBER(R93),R93*$K$26,("N/A"))</f>
        <v>11.5199999424</v>
      </c>
      <c r="T94" s="53"/>
    </row>
    <row r="95" customFormat="false" ht="15.75" hidden="false" customHeight="false" outlineLevel="0" collapsed="false">
      <c r="B95" s="86"/>
      <c r="J95" s="74" t="s">
        <v>122</v>
      </c>
      <c r="K95" s="2" t="n">
        <v>0</v>
      </c>
      <c r="P95" s="27" t="n">
        <f aca="false">$V$8</f>
        <v>24</v>
      </c>
      <c r="Q95" s="22" t="n">
        <f aca="false">$W$8</f>
        <v>319999998400000</v>
      </c>
      <c r="R95" s="22" t="n">
        <f aca="false">IF(ISNUMBER(Q95),($K$28*Q95),("N/A"))</f>
        <v>5.7599999712</v>
      </c>
      <c r="S95" s="22" t="n">
        <f aca="false">IF(ISNUMBER(R94),R94*$K$26,("N/A"))</f>
        <v>23.0399998848</v>
      </c>
      <c r="T95" s="53"/>
    </row>
    <row r="96" customFormat="false" ht="15.75" hidden="false" customHeight="false" outlineLevel="0" collapsed="false">
      <c r="J96" s="74" t="s">
        <v>123</v>
      </c>
      <c r="K96" s="2" t="n">
        <v>0</v>
      </c>
      <c r="P96" s="27" t="n">
        <f aca="false">$V$9</f>
        <v>32</v>
      </c>
      <c r="Q96" s="22" t="n">
        <f aca="false">$W$9</f>
        <v>639999996800000</v>
      </c>
      <c r="R96" s="22" t="n">
        <f aca="false">IF(ISNUMBER(Q96),($K$28*Q96),("N/A"))</f>
        <v>11.5199999424</v>
      </c>
      <c r="S96" s="22" t="n">
        <f aca="false">IF(ISNUMBER(R95),R95*$K$26,("N/A"))</f>
        <v>46.0799997696</v>
      </c>
      <c r="T96" s="53"/>
    </row>
    <row r="97" customFormat="false" ht="15.75" hidden="false" customHeight="false" outlineLevel="0" collapsed="false">
      <c r="J97" s="74" t="s">
        <v>124</v>
      </c>
      <c r="K97" s="2" t="s">
        <v>147</v>
      </c>
      <c r="P97" s="27" t="n">
        <f aca="false">$V$10</f>
        <v>40</v>
      </c>
      <c r="Q97" s="22" t="n">
        <f aca="false">$W$10</f>
        <v>1279999993600000</v>
      </c>
      <c r="R97" s="22" t="n">
        <f aca="false">IF(ISNUMBER(Q97),($K$28*Q97),("N/A"))</f>
        <v>23.0399998848</v>
      </c>
      <c r="S97" s="22" t="n">
        <f aca="false">IF(ISNUMBER(R96),R96*$K$26,("N/A"))</f>
        <v>92.1599995392</v>
      </c>
      <c r="T97" s="53"/>
    </row>
    <row r="98" customFormat="false" ht="15.75" hidden="false" customHeight="false" outlineLevel="0" collapsed="false">
      <c r="J98" s="74" t="s">
        <v>130</v>
      </c>
      <c r="K98" s="2" t="n">
        <v>0</v>
      </c>
      <c r="P98" s="27" t="n">
        <f aca="false">$V$11</f>
        <v>48</v>
      </c>
      <c r="Q98" s="22" t="n">
        <f aca="false">$W$11</f>
        <v>2559999987200000</v>
      </c>
      <c r="R98" s="22" t="n">
        <f aca="false">IF(ISNUMBER(Q98),($K$28*Q98),("N/A"))</f>
        <v>46.0799997696</v>
      </c>
      <c r="S98" s="22" t="n">
        <f aca="false">IF(ISNUMBER(R97),R97*$K$26,("N/A"))</f>
        <v>184.3199990784</v>
      </c>
      <c r="T98" s="53"/>
    </row>
    <row r="99" customFormat="false" ht="15" hidden="false" customHeight="false" outlineLevel="0" collapsed="false">
      <c r="P99" s="27" t="n">
        <f aca="false">$V$12</f>
        <v>53.1508495181978</v>
      </c>
      <c r="Q99" s="22" t="str">
        <f aca="false">$W$12</f>
        <v>N/A</v>
      </c>
      <c r="R99" s="22" t="str">
        <f aca="false">IF(ISNUMBER(Q99),($K$28*Q99),("N/A"))</f>
        <v>N/A</v>
      </c>
      <c r="S99" s="22" t="n">
        <f aca="false">IF(ISNUMBER(R98),R98*$K$26,("N/A"))</f>
        <v>368.6399981568</v>
      </c>
      <c r="T99" s="53"/>
    </row>
    <row r="100" customFormat="false" ht="15.75" hidden="false" customHeight="false" outlineLevel="0" collapsed="false">
      <c r="J100" s="88" t="s">
        <v>148</v>
      </c>
      <c r="P100" s="27" t="n">
        <f aca="false">$V$13</f>
        <v>53.1508495181978</v>
      </c>
      <c r="Q100" s="22" t="str">
        <f aca="false">$W$13</f>
        <v>N/A</v>
      </c>
      <c r="R100" s="22" t="str">
        <f aca="false">IF(ISNUMBER(Q100),($K$28*Q100),("N/A"))</f>
        <v>N/A</v>
      </c>
      <c r="S100" s="22" t="str">
        <f aca="false">IF(ISNUMBER(R99),R99*$K$26,("N/A"))</f>
        <v>N/A</v>
      </c>
      <c r="T100" s="53"/>
    </row>
    <row r="101" customFormat="false" ht="15" hidden="false" customHeight="false" outlineLevel="0" collapsed="false">
      <c r="P101" s="27" t="n">
        <f aca="false">$V$14</f>
        <v>53.1508495181978</v>
      </c>
      <c r="Q101" s="22" t="str">
        <f aca="false">$W$14</f>
        <v>N/A</v>
      </c>
      <c r="R101" s="22" t="str">
        <f aca="false">IF(ISNUMBER(Q101),($K$28*Q101),("N/A"))</f>
        <v>N/A</v>
      </c>
      <c r="S101" s="22" t="str">
        <f aca="false">IF(ISNUMBER(R100),R100*$K$26,("N/A"))</f>
        <v>N/A</v>
      </c>
      <c r="T101" s="53"/>
    </row>
    <row r="102" customFormat="false" ht="15" hidden="false" customHeight="false" outlineLevel="0" collapsed="false">
      <c r="J102" s="1" t="s">
        <v>149</v>
      </c>
      <c r="K102" s="72" t="n">
        <v>0.9</v>
      </c>
      <c r="P102" s="27" t="n">
        <f aca="false">$V$15</f>
        <v>53.1508495181978</v>
      </c>
      <c r="Q102" s="22" t="str">
        <f aca="false">$W$15</f>
        <v>N/A</v>
      </c>
      <c r="R102" s="22" t="str">
        <f aca="false">IF(ISNUMBER(Q102),($K$28*Q102),("N/A"))</f>
        <v>N/A</v>
      </c>
      <c r="S102" s="22" t="str">
        <f aca="false">IF(ISNUMBER(R101),R101*$K$26,("N/A"))</f>
        <v>N/A</v>
      </c>
      <c r="T102" s="53"/>
    </row>
    <row r="103" customFormat="false" ht="15" hidden="false" customHeight="false" outlineLevel="0" collapsed="false">
      <c r="J103" s="1" t="s">
        <v>150</v>
      </c>
      <c r="K103" s="72" t="n">
        <v>0.05</v>
      </c>
      <c r="P103" s="27" t="n">
        <f aca="false">$V$16</f>
        <v>53.1508495181978</v>
      </c>
      <c r="Q103" s="22" t="str">
        <f aca="false">$W$16</f>
        <v>N/A</v>
      </c>
      <c r="R103" s="22" t="str">
        <f aca="false">IF(ISNUMBER(Q103),($K$28*Q103),("N/A"))</f>
        <v>N/A</v>
      </c>
      <c r="S103" s="22" t="str">
        <f aca="false">IF(ISNUMBER(R102),R102*$K$26,("N/A"))</f>
        <v>N/A</v>
      </c>
      <c r="T103" s="53"/>
    </row>
    <row r="104" customFormat="false" ht="15" hidden="false" customHeight="false" outlineLevel="0" collapsed="false">
      <c r="J104" s="1" t="s">
        <v>151</v>
      </c>
      <c r="K104" s="2" t="n">
        <v>20</v>
      </c>
      <c r="P104" s="27" t="n">
        <f aca="false">$V$17</f>
        <v>53.1508495181978</v>
      </c>
      <c r="Q104" s="22" t="str">
        <f aca="false">$W$17</f>
        <v>N/A</v>
      </c>
      <c r="R104" s="22" t="str">
        <f aca="false">IF(ISNUMBER(Q104),($K$28*Q104),("N/A"))</f>
        <v>N/A</v>
      </c>
      <c r="S104" s="22" t="str">
        <f aca="false">IF(ISNUMBER(R103),R103*$K$26,("N/A"))</f>
        <v>N/A</v>
      </c>
      <c r="T104" s="53"/>
    </row>
    <row r="105" customFormat="false" ht="15" hidden="false" customHeight="false" outlineLevel="0" collapsed="false">
      <c r="J105" s="1" t="s">
        <v>188</v>
      </c>
      <c r="K105" s="72" t="n">
        <v>0.15</v>
      </c>
      <c r="P105" s="27" t="n">
        <f aca="false">$V$18</f>
        <v>53.1508495181978</v>
      </c>
      <c r="Q105" s="22" t="str">
        <f aca="false">$W$18</f>
        <v>N/A</v>
      </c>
      <c r="R105" s="22" t="str">
        <f aca="false">IF(ISNUMBER(Q105),($K$28*Q105),("N/A"))</f>
        <v>N/A</v>
      </c>
      <c r="S105" s="22" t="str">
        <f aca="false">IF(ISNUMBER(R104),R104*$K$26,("N/A"))</f>
        <v>N/A</v>
      </c>
      <c r="T105" s="53"/>
    </row>
    <row r="106" customFormat="false" ht="15" hidden="false" customHeight="false" outlineLevel="0" collapsed="false">
      <c r="P106" s="27" t="n">
        <f aca="false">$V$19</f>
        <v>53.1508495181978</v>
      </c>
      <c r="Q106" s="22" t="str">
        <f aca="false">$W$19</f>
        <v>N/A</v>
      </c>
      <c r="R106" s="22" t="str">
        <f aca="false">IF(ISNUMBER(Q106),($K$28*Q106),("N/A"))</f>
        <v>N/A</v>
      </c>
      <c r="S106" s="22" t="str">
        <f aca="false">IF(ISNUMBER(R105),R105*$K$26,("N/A"))</f>
        <v>N/A</v>
      </c>
      <c r="T106" s="53"/>
    </row>
    <row r="107" customFormat="false" ht="30" hidden="false" customHeight="false" outlineLevel="0" collapsed="false">
      <c r="P107" s="89" t="s">
        <v>153</v>
      </c>
      <c r="Q107" s="90" t="s">
        <v>154</v>
      </c>
      <c r="R107" s="91" t="s">
        <v>155</v>
      </c>
      <c r="S107" s="81"/>
      <c r="T107" s="82"/>
    </row>
    <row r="108" customFormat="false" ht="15" hidden="false" customHeight="false" outlineLevel="0" collapsed="false">
      <c r="P108" s="21" t="n">
        <f aca="false">U5*K28*K14</f>
        <v>1727.99999136</v>
      </c>
      <c r="Q108" s="22" t="n">
        <f aca="false">T80*K40*K41/K42</f>
        <v>99073.59501025</v>
      </c>
      <c r="R108" s="22" t="n">
        <f aca="false">P108+T92+Q108</f>
        <v>101533.114997952</v>
      </c>
      <c r="S108" s="22"/>
      <c r="T108" s="53"/>
    </row>
    <row r="109" customFormat="false" ht="15" hidden="false" customHeight="false" outlineLevel="0" collapsed="false">
      <c r="P109" s="27"/>
      <c r="Q109" s="24"/>
      <c r="R109" s="24"/>
      <c r="S109" s="22"/>
      <c r="T109" s="53"/>
    </row>
    <row r="110" customFormat="false" ht="15" hidden="false" customHeight="false" outlineLevel="0" collapsed="false">
      <c r="P110" s="27"/>
      <c r="Q110" s="24"/>
      <c r="R110" s="24"/>
      <c r="S110" s="22"/>
      <c r="T110" s="53"/>
    </row>
    <row r="111" customFormat="false" ht="15" hidden="false" customHeight="false" outlineLevel="0" collapsed="false">
      <c r="P111" s="27"/>
      <c r="Q111" s="24"/>
      <c r="R111" s="24"/>
      <c r="S111" s="22"/>
      <c r="T111" s="53"/>
    </row>
    <row r="112" customFormat="false" ht="30" hidden="false" customHeight="false" outlineLevel="0" collapsed="false">
      <c r="P112" s="54" t="s">
        <v>156</v>
      </c>
      <c r="Q112" s="28"/>
      <c r="R112" s="24"/>
      <c r="S112" s="22"/>
      <c r="T112" s="53"/>
    </row>
    <row r="113" customFormat="false" ht="15" hidden="false" customHeight="false" outlineLevel="0" collapsed="false">
      <c r="P113" s="79" t="n">
        <f aca="false">(R108*Q31*K42)/1000</f>
        <v>18544.1614734789</v>
      </c>
      <c r="Q113" s="24"/>
      <c r="R113" s="24"/>
      <c r="S113" s="22"/>
      <c r="T113" s="53"/>
    </row>
    <row r="114" customFormat="false" ht="15" hidden="false" customHeight="false" outlineLevel="0" collapsed="false">
      <c r="P114" s="27" t="s">
        <v>157</v>
      </c>
      <c r="Q114" s="24"/>
      <c r="R114" s="24"/>
      <c r="S114" s="22"/>
      <c r="T114" s="53"/>
    </row>
    <row r="115" customFormat="false" ht="15.75" hidden="false" customHeight="false" outlineLevel="0" collapsed="false">
      <c r="P115" s="87" t="n">
        <f aca="false">P113*N25</f>
        <v>741766.458939156</v>
      </c>
      <c r="Q115" s="43"/>
      <c r="R115" s="43"/>
      <c r="S115" s="42"/>
      <c r="T115" s="57"/>
    </row>
    <row r="118" customFormat="false" ht="15.75" hidden="false" customHeight="false" outlineLevel="0" collapsed="false">
      <c r="P118" s="5" t="s">
        <v>158</v>
      </c>
    </row>
    <row r="119" customFormat="false" ht="30" hidden="false" customHeight="false" outlineLevel="0" collapsed="false">
      <c r="P119" s="15" t="s">
        <v>159</v>
      </c>
      <c r="Q119" s="49" t="s">
        <v>160</v>
      </c>
    </row>
    <row r="120" customFormat="false" ht="15" hidden="false" customHeight="false" outlineLevel="0" collapsed="false">
      <c r="P120" s="92" t="n">
        <f aca="false">(0.09*N28+6.78)/100</f>
        <v>0.071553</v>
      </c>
      <c r="Q120" s="63" t="n">
        <f aca="false">(N29/K44)/100</f>
        <v>0.0167058823529412</v>
      </c>
    </row>
    <row r="121" customFormat="false" ht="15" hidden="false" customHeight="false" outlineLevel="0" collapsed="false">
      <c r="P121" s="27"/>
      <c r="Q121" s="53"/>
    </row>
    <row r="122" customFormat="false" ht="15" hidden="false" customHeight="false" outlineLevel="0" collapsed="false">
      <c r="P122" s="27"/>
      <c r="Q122" s="53"/>
    </row>
    <row r="123" customFormat="false" ht="15" hidden="false" customHeight="false" outlineLevel="0" collapsed="false">
      <c r="P123" s="27" t="s">
        <v>161</v>
      </c>
      <c r="Q123" s="53"/>
    </row>
    <row r="124" customFormat="false" ht="15.75" hidden="false" customHeight="false" outlineLevel="0" collapsed="false">
      <c r="P124" s="87" t="n">
        <f aca="false">(P120*K46) + (Q120*K45)</f>
        <v>0.0441294411764706</v>
      </c>
      <c r="Q124" s="57"/>
    </row>
    <row r="127" customFormat="false" ht="15.75" hidden="false" customHeight="false" outlineLevel="0" collapsed="false">
      <c r="P127" s="5" t="s">
        <v>162</v>
      </c>
    </row>
    <row r="128" customFormat="false" ht="30" hidden="false" customHeight="false" outlineLevel="0" collapsed="false">
      <c r="P128" s="15" t="s">
        <v>163</v>
      </c>
      <c r="Q128" s="16" t="s">
        <v>164</v>
      </c>
      <c r="R128" s="49" t="s">
        <v>165</v>
      </c>
    </row>
    <row r="129" customFormat="false" ht="15.75" hidden="false" customHeight="false" outlineLevel="0" collapsed="false">
      <c r="A129" s="74"/>
      <c r="P129" s="85" t="n">
        <f aca="false">((P86*K40)*(K52-K51)*K53)/K54</f>
        <v>17841621.7138011</v>
      </c>
      <c r="Q129" s="28" t="n">
        <f aca="false">(R108*Q31*K56)/K57</f>
        <v>75335655.9860081</v>
      </c>
      <c r="R129" s="93" t="n">
        <f aca="false">K11*(K60-K61)*K59/K62</f>
        <v>2483646</v>
      </c>
    </row>
    <row r="130" customFormat="false" ht="15" hidden="false" customHeight="false" outlineLevel="0" collapsed="false">
      <c r="P130" s="27"/>
      <c r="Q130" s="24"/>
      <c r="R130" s="53"/>
    </row>
    <row r="131" customFormat="false" ht="15" hidden="false" customHeight="false" outlineLevel="0" collapsed="false">
      <c r="P131" s="27"/>
      <c r="Q131" s="24"/>
      <c r="R131" s="53"/>
    </row>
    <row r="132" customFormat="false" ht="15" hidden="false" customHeight="false" outlineLevel="0" collapsed="false">
      <c r="P132" s="27" t="s">
        <v>166</v>
      </c>
      <c r="Q132" s="24"/>
      <c r="R132" s="53"/>
    </row>
    <row r="133" customFormat="false" ht="15" hidden="false" customHeight="false" outlineLevel="0" collapsed="false">
      <c r="M133" s="2"/>
      <c r="P133" s="79" t="n">
        <f aca="false">P129+Q129+R129</f>
        <v>95660923.6998092</v>
      </c>
      <c r="Q133" s="24"/>
      <c r="R133" s="53"/>
    </row>
    <row r="134" customFormat="false" ht="15" hidden="false" customHeight="false" outlineLevel="0" collapsed="false">
      <c r="P134" s="27" t="s">
        <v>167</v>
      </c>
      <c r="Q134" s="24"/>
      <c r="R134" s="53"/>
    </row>
    <row r="135" customFormat="false" ht="15.75" hidden="false" customHeight="false" outlineLevel="0" collapsed="false">
      <c r="P135" s="87" t="n">
        <f aca="false">P133*P124</f>
        <v>4221463.10529757</v>
      </c>
      <c r="Q135" s="43"/>
      <c r="R135" s="57"/>
    </row>
    <row r="138" customFormat="false" ht="15.75" hidden="false" customHeight="false" outlineLevel="0" collapsed="false">
      <c r="P138" s="5" t="s">
        <v>168</v>
      </c>
    </row>
    <row r="139" customFormat="false" ht="30" hidden="false" customHeight="false" outlineLevel="0" collapsed="false">
      <c r="P139" s="15" t="s">
        <v>169</v>
      </c>
      <c r="Q139" s="49" t="s">
        <v>170</v>
      </c>
    </row>
    <row r="140" customFormat="false" ht="15" hidden="false" customHeight="false" outlineLevel="0" collapsed="false">
      <c r="P140" s="94" t="n">
        <f aca="false">((K67*K91)+(K68*K92)+(K93*K69)+(K94*K70)+(K71*K95)+(K96*K78)+(Q30*K79)+(K80*K98))</f>
        <v>50.2673647280639</v>
      </c>
      <c r="Q140" s="53" t="n">
        <f aca="false">K83*K84*K85*K86*K87*K88</f>
        <v>2.52</v>
      </c>
    </row>
    <row r="141" customFormat="false" ht="15" hidden="false" customHeight="false" outlineLevel="0" collapsed="false">
      <c r="P141" s="27"/>
      <c r="Q141" s="53"/>
    </row>
    <row r="142" customFormat="false" ht="15" hidden="false" customHeight="false" outlineLevel="0" collapsed="false">
      <c r="P142" s="27" t="s">
        <v>168</v>
      </c>
      <c r="Q142" s="53"/>
    </row>
    <row r="143" customFormat="false" ht="15.75" hidden="false" customHeight="false" outlineLevel="0" collapsed="false">
      <c r="P143" s="95" t="n">
        <f aca="false">K15*Q140*N32*P140</f>
        <v>15180177.936279</v>
      </c>
      <c r="Q143" s="57"/>
    </row>
    <row r="146" customFormat="false" ht="15.75" hidden="false" customHeight="false" outlineLevel="0" collapsed="false">
      <c r="P146" s="5" t="s">
        <v>171</v>
      </c>
    </row>
    <row r="147" customFormat="false" ht="30" hidden="false" customHeight="false" outlineLevel="0" collapsed="false">
      <c r="P147" s="29" t="s">
        <v>172</v>
      </c>
      <c r="Q147" s="16" t="s">
        <v>173</v>
      </c>
      <c r="R147" s="16" t="s">
        <v>174</v>
      </c>
      <c r="S147" s="96" t="s">
        <v>175</v>
      </c>
    </row>
    <row r="148" customFormat="false" ht="15" hidden="false" customHeight="false" outlineLevel="0" collapsed="false">
      <c r="P148" s="79" t="n">
        <f aca="false">P86/1000</f>
        <v>904747.551409794</v>
      </c>
      <c r="Q148" s="62" t="n">
        <f aca="false">N36*P148</f>
        <v>569990.95738817</v>
      </c>
      <c r="R148" s="62" t="n">
        <f aca="false">P148*N37</f>
        <v>461421.251218995</v>
      </c>
      <c r="S148" s="63" t="n">
        <f aca="false">N38*P148</f>
        <v>515706.104303583</v>
      </c>
    </row>
    <row r="149" customFormat="false" ht="15" hidden="false" customHeight="false" outlineLevel="0" collapsed="false">
      <c r="P149" s="27"/>
      <c r="Q149" s="24"/>
      <c r="R149" s="24"/>
      <c r="S149" s="25"/>
    </row>
    <row r="150" customFormat="false" ht="30" hidden="false" customHeight="false" outlineLevel="0" collapsed="false">
      <c r="P150" s="54" t="s">
        <v>176</v>
      </c>
      <c r="Q150" s="24"/>
      <c r="R150" s="24"/>
      <c r="S150" s="25"/>
    </row>
    <row r="151" customFormat="false" ht="15.75" hidden="false" customHeight="false" outlineLevel="0" collapsed="false">
      <c r="P151" s="87" t="n">
        <f aca="false">Q148+R148+S148</f>
        <v>1547118.31291075</v>
      </c>
      <c r="Q151" s="43"/>
      <c r="R151" s="43"/>
      <c r="S151" s="44"/>
    </row>
    <row r="154" customFormat="false" ht="15.75" hidden="false" customHeight="false" outlineLevel="0" collapsed="false">
      <c r="P154" s="5" t="s">
        <v>177</v>
      </c>
    </row>
    <row r="155" customFormat="false" ht="15" hidden="false" customHeight="false" outlineLevel="0" collapsed="false">
      <c r="P155" s="29" t="s">
        <v>178</v>
      </c>
      <c r="Q155" s="48" t="s">
        <v>179</v>
      </c>
      <c r="R155" s="48" t="s">
        <v>180</v>
      </c>
      <c r="S155" s="97" t="s">
        <v>181</v>
      </c>
      <c r="T155" s="58" t="s">
        <v>182</v>
      </c>
    </row>
    <row r="156" customFormat="false" ht="15" hidden="false" customHeight="false" outlineLevel="0" collapsed="false">
      <c r="P156" s="98" t="n">
        <f aca="false">1-K102</f>
        <v>0.1</v>
      </c>
      <c r="Q156" s="72" t="n">
        <f aca="false">K102*K103+P156*K105</f>
        <v>0.06</v>
      </c>
      <c r="R156" s="99" t="n">
        <f aca="false">D4</f>
        <v>39128556.4137913</v>
      </c>
      <c r="S156" s="62" t="n">
        <f aca="false">R156*K102</f>
        <v>35215700.7724121</v>
      </c>
      <c r="T156" s="100" t="n">
        <f aca="false">R156*P156</f>
        <v>3912855.64137913</v>
      </c>
    </row>
    <row r="157" customFormat="false" ht="15" hidden="false" customHeight="false" outlineLevel="0" collapsed="false">
      <c r="P157" s="27"/>
      <c r="Q157" s="24"/>
      <c r="R157" s="24"/>
      <c r="S157" s="22"/>
      <c r="T157" s="53"/>
    </row>
    <row r="158" s="4" customFormat="true" ht="27.75" hidden="false" customHeight="true" outlineLevel="0" collapsed="false">
      <c r="J158" s="108"/>
      <c r="K158" s="109"/>
      <c r="M158" s="108"/>
      <c r="P158" s="54" t="s">
        <v>183</v>
      </c>
      <c r="Q158" s="59" t="s">
        <v>184</v>
      </c>
      <c r="R158" s="59" t="s">
        <v>185</v>
      </c>
      <c r="S158" s="81" t="s">
        <v>186</v>
      </c>
      <c r="T158" s="82"/>
    </row>
    <row r="159" customFormat="false" ht="15" hidden="false" customHeight="false" outlineLevel="0" collapsed="false">
      <c r="P159" s="101" t="n">
        <f aca="false">(K103*(1+K103)^K104)/((1+K103)^K104-1)</f>
        <v>0.0802425871906913</v>
      </c>
      <c r="Q159" s="62" t="n">
        <f aca="false">S156*P159</f>
        <v>2825798.93971158</v>
      </c>
      <c r="R159" s="28" t="n">
        <f aca="false">(K105*(1+K105)^K104)/((1+K105)^K104-1)</f>
        <v>0.159761470405744</v>
      </c>
      <c r="S159" s="62" t="n">
        <f aca="false">T156*R159</f>
        <v>625123.570752139</v>
      </c>
      <c r="T159" s="53"/>
    </row>
    <row r="160" customFormat="false" ht="15" hidden="false" customHeight="false" outlineLevel="0" collapsed="false">
      <c r="P160" s="27"/>
      <c r="Q160" s="24"/>
      <c r="R160" s="24"/>
      <c r="S160" s="22"/>
      <c r="T160" s="53"/>
    </row>
    <row r="161" customFormat="false" ht="30" hidden="false" customHeight="false" outlineLevel="0" collapsed="false">
      <c r="P161" s="54" t="s">
        <v>189</v>
      </c>
      <c r="Q161" s="24"/>
      <c r="R161" s="24"/>
      <c r="S161" s="22"/>
      <c r="T161" s="53"/>
    </row>
    <row r="162" customFormat="false" ht="15.75" hidden="false" customHeight="false" outlineLevel="0" collapsed="false">
      <c r="P162" s="87" t="n">
        <f aca="false">Q159+S159</f>
        <v>3450922.51046372</v>
      </c>
      <c r="Q162" s="43"/>
      <c r="R162" s="43"/>
      <c r="S162" s="42"/>
      <c r="T162" s="57"/>
    </row>
    <row r="164" customFormat="false" ht="15" hidden="false" customHeight="false" outlineLevel="0" collapsed="false">
      <c r="P164" s="102"/>
    </row>
  </sheetData>
  <mergeCells count="8">
    <mergeCell ref="P2:Q2"/>
    <mergeCell ref="V4:W4"/>
    <mergeCell ref="B5:C5"/>
    <mergeCell ref="B6:C6"/>
    <mergeCell ref="B24:C24"/>
    <mergeCell ref="B40:C40"/>
    <mergeCell ref="P55:Q55"/>
    <mergeCell ref="B58:C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S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1" activeCellId="0" sqref="E81"/>
    </sheetView>
  </sheetViews>
  <sheetFormatPr defaultColWidth="8.54296875" defaultRowHeight="15" zeroHeight="false" outlineLevelRow="0" outlineLevelCol="1"/>
  <cols>
    <col collapsed="false" customWidth="true" hidden="false" outlineLevel="0" max="4" min="4" style="0" width="49.57"/>
    <col collapsed="false" customWidth="true" hidden="false" outlineLevel="1" max="5" min="5" style="0" width="18.85"/>
    <col collapsed="false" customWidth="true" hidden="false" outlineLevel="1" max="6" min="6" style="0" width="19.57"/>
    <col collapsed="false" customWidth="true" hidden="false" outlineLevel="1" max="7" min="7" style="0" width="15.85"/>
    <col collapsed="false" customWidth="true" hidden="false" outlineLevel="1" max="8" min="8" style="0" width="19.43"/>
    <col collapsed="false" customWidth="true" hidden="false" outlineLevel="1" max="9" min="9" style="0" width="13"/>
    <col collapsed="false" customWidth="true" hidden="false" outlineLevel="1" max="10" min="10" style="0" width="15.85"/>
    <col collapsed="false" customWidth="true" hidden="false" outlineLevel="0" max="11" min="11" style="0" width="14.28"/>
    <col collapsed="false" customWidth="true" hidden="false" outlineLevel="0" max="13" min="12" style="0" width="16.71"/>
    <col collapsed="false" customWidth="true" hidden="false" outlineLevel="0" max="14" min="14" style="0" width="17.57"/>
    <col collapsed="false" customWidth="true" hidden="false" outlineLevel="0" max="18" min="18" style="0" width="49"/>
    <col collapsed="false" customWidth="true" hidden="false" outlineLevel="0" max="19" min="19" style="0" width="17.57"/>
  </cols>
  <sheetData>
    <row r="3" customFormat="false" ht="41.25" hidden="false" customHeight="true" outlineLevel="0" collapsed="false"/>
    <row r="5" customFormat="false" ht="78.75" hidden="false" customHeight="true" outlineLevel="0" collapsed="false">
      <c r="D5" s="0" t="s">
        <v>10</v>
      </c>
      <c r="E5" s="4" t="s">
        <v>191</v>
      </c>
      <c r="F5" s="4" t="s">
        <v>192</v>
      </c>
      <c r="G5" s="4" t="s">
        <v>193</v>
      </c>
      <c r="H5" s="4" t="s">
        <v>194</v>
      </c>
      <c r="I5" s="4" t="s">
        <v>195</v>
      </c>
      <c r="J5" s="4" t="s">
        <v>196</v>
      </c>
      <c r="K5" s="4" t="s">
        <v>24</v>
      </c>
      <c r="L5" s="4" t="s">
        <v>55</v>
      </c>
      <c r="M5" s="4" t="s">
        <v>87</v>
      </c>
      <c r="N5" s="4" t="s">
        <v>106</v>
      </c>
      <c r="P5" s="110"/>
      <c r="R5" s="26" t="s">
        <v>24</v>
      </c>
      <c r="S5" s="26"/>
    </row>
    <row r="6" customFormat="false" ht="15" hidden="false" customHeight="false" outlineLevel="0" collapsed="false">
      <c r="D6" s="0" t="s">
        <v>43</v>
      </c>
      <c r="E6" s="0" t="n">
        <v>4181614869.08318</v>
      </c>
      <c r="F6" s="0" t="n">
        <v>44597489672813.8</v>
      </c>
      <c r="G6" s="0" t="n">
        <v>6969358115.13864</v>
      </c>
      <c r="H6" s="0" t="n">
        <v>74329148762128.9</v>
      </c>
      <c r="I6" s="0" t="n">
        <v>5575486492.11091</v>
      </c>
      <c r="J6" s="0" t="n">
        <v>59463752086430.7</v>
      </c>
      <c r="K6" s="72" t="n">
        <f aca="false">((E6-$I$6)/$I$6)</f>
        <v>-0.25</v>
      </c>
      <c r="L6" s="64" t="n">
        <f aca="false">((F6-$J$6)/$J$6)</f>
        <v>-0.250005455289951</v>
      </c>
      <c r="M6" s="72" t="n">
        <f aca="false">((G6-$I$6)/$I$6)</f>
        <v>0.25</v>
      </c>
      <c r="N6" s="64" t="n">
        <f aca="false">((H6-$J$6)/$J$6)</f>
        <v>0.249990896203308</v>
      </c>
      <c r="R6" s="0" t="s">
        <v>26</v>
      </c>
      <c r="S6" s="64" t="n">
        <v>0.361963534320409</v>
      </c>
    </row>
    <row r="7" customFormat="false" ht="15" hidden="false" customHeight="false" outlineLevel="0" collapsed="false">
      <c r="D7" s="0" t="s">
        <v>62</v>
      </c>
      <c r="E7" s="0" t="n">
        <v>5575486492.11091</v>
      </c>
      <c r="F7" s="0" t="n">
        <v>44598131581514.6</v>
      </c>
      <c r="G7" s="0" t="n">
        <v>5575486492.11091</v>
      </c>
      <c r="H7" s="0" t="n">
        <v>74328506853428.1</v>
      </c>
      <c r="K7" s="72" t="n">
        <f aca="false">((E7-$I$6)/$I$6)</f>
        <v>0</v>
      </c>
      <c r="L7" s="64" t="n">
        <f aca="false">((F7-$J$6)/$J$6)</f>
        <v>-0.249994660332044</v>
      </c>
      <c r="M7" s="72" t="n">
        <f aca="false">((G7-$I$6)/$I$6)</f>
        <v>0</v>
      </c>
      <c r="N7" s="64" t="n">
        <f aca="false">((H7-$J$6)/$J$6)</f>
        <v>0.249980101245401</v>
      </c>
      <c r="R7" s="0" t="s">
        <v>28</v>
      </c>
      <c r="S7" s="64" t="n">
        <v>0.333333333333333</v>
      </c>
    </row>
    <row r="8" customFormat="false" ht="15" hidden="false" customHeight="false" outlineLevel="0" collapsed="false">
      <c r="D8" s="0" t="s">
        <v>67</v>
      </c>
      <c r="E8" s="0" t="n">
        <v>5575486492.11091</v>
      </c>
      <c r="F8" s="0" t="n">
        <v>45337271134579.7</v>
      </c>
      <c r="G8" s="0" t="n">
        <v>5575486492.11091</v>
      </c>
      <c r="H8" s="0" t="n">
        <v>73589367300363</v>
      </c>
      <c r="K8" s="72" t="n">
        <f aca="false">((E8-$I$6)/$I$6)</f>
        <v>0</v>
      </c>
      <c r="L8" s="64" t="n">
        <f aca="false">((F8-$J$6)/$J$6)</f>
        <v>-0.237564574319464</v>
      </c>
      <c r="M8" s="72" t="n">
        <f aca="false">((G8-$I$6)/$I$6)</f>
        <v>0</v>
      </c>
      <c r="N8" s="64" t="n">
        <f aca="false">((H8-$J$6)/$J$6)</f>
        <v>0.237550015232821</v>
      </c>
      <c r="R8" s="0" t="s">
        <v>30</v>
      </c>
      <c r="S8" s="64" t="n">
        <v>0.333333333333333</v>
      </c>
    </row>
    <row r="9" customFormat="false" ht="15" hidden="false" customHeight="false" outlineLevel="0" collapsed="false">
      <c r="D9" s="0" t="s">
        <v>47</v>
      </c>
      <c r="E9" s="0" t="n">
        <v>5575486492.11091</v>
      </c>
      <c r="F9" s="0" t="n">
        <v>45337704003539</v>
      </c>
      <c r="G9" s="0" t="n">
        <v>5575486492.11091</v>
      </c>
      <c r="H9" s="0" t="n">
        <v>73589800169322.4</v>
      </c>
      <c r="K9" s="72" t="n">
        <f aca="false">((E9-$I$6)/$I$6)</f>
        <v>0</v>
      </c>
      <c r="L9" s="64" t="n">
        <f aca="false">((F9-$J$6)/$J$6)</f>
        <v>-0.237557294776142</v>
      </c>
      <c r="M9" s="72" t="n">
        <f aca="false">((G9-$I$6)/$I$6)</f>
        <v>0</v>
      </c>
      <c r="N9" s="64" t="n">
        <f aca="false">((H9-$J$6)/$J$6)</f>
        <v>0.237557294776143</v>
      </c>
      <c r="R9" s="0" t="s">
        <v>32</v>
      </c>
      <c r="S9" s="64" t="n">
        <v>0.333333333333333</v>
      </c>
    </row>
    <row r="10" customFormat="false" ht="15" hidden="false" customHeight="false" outlineLevel="0" collapsed="false">
      <c r="D10" s="0" t="s">
        <v>41</v>
      </c>
      <c r="E10" s="0" t="n">
        <v>4976942676.25213</v>
      </c>
      <c r="F10" s="0" t="n">
        <v>46272992357530.5</v>
      </c>
      <c r="G10" s="0" t="n">
        <v>6174030307.96969</v>
      </c>
      <c r="H10" s="0" t="n">
        <v>72653646077412.2</v>
      </c>
      <c r="K10" s="72" t="n">
        <f aca="false">((E10-$I$6)/$I$6)</f>
        <v>-0.107352751496339</v>
      </c>
      <c r="L10" s="64" t="n">
        <f aca="false">((F10-$J$6)/$J$6)</f>
        <v>-0.221828580707914</v>
      </c>
      <c r="M10" s="72" t="n">
        <f aca="false">((G10-$I$6)/$I$6)</f>
        <v>0.107352751496339</v>
      </c>
      <c r="N10" s="64" t="n">
        <f aca="false">((H10-$J$6)/$J$6)</f>
        <v>0.221814021621271</v>
      </c>
      <c r="R10" s="0" t="s">
        <v>31</v>
      </c>
      <c r="S10" s="64" t="n">
        <v>0.309570443988403</v>
      </c>
    </row>
    <row r="11" customFormat="false" ht="15" hidden="false" customHeight="false" outlineLevel="0" collapsed="false">
      <c r="D11" s="0" t="s">
        <v>48</v>
      </c>
      <c r="E11" s="0" t="n">
        <v>4780158684.94196</v>
      </c>
      <c r="F11" s="0" t="n">
        <v>57787816559702.2</v>
      </c>
      <c r="G11" s="0" t="n">
        <v>6370814299.27986</v>
      </c>
      <c r="H11" s="0" t="n">
        <v>61138821875240.5</v>
      </c>
      <c r="K11" s="72" t="n">
        <f aca="false">((E11-$I$6)/$I$6)</f>
        <v>-0.142647248503661</v>
      </c>
      <c r="L11" s="64" t="n">
        <f aca="false">((F11-$J$6)/$J$6)</f>
        <v>-0.0281841536721815</v>
      </c>
      <c r="M11" s="72" t="n">
        <f aca="false">((G11-$I$6)/$I$6)</f>
        <v>0.14264724850366</v>
      </c>
      <c r="N11" s="64" t="n">
        <f aca="false">((H11-$J$6)/$J$6)</f>
        <v>0.0281695945855391</v>
      </c>
      <c r="R11" s="0" t="s">
        <v>33</v>
      </c>
      <c r="S11" s="64" t="n">
        <v>0.309570443988403</v>
      </c>
    </row>
    <row r="12" customFormat="false" ht="15" hidden="false" customHeight="false" outlineLevel="0" collapsed="false">
      <c r="D12" s="0" t="s">
        <v>77</v>
      </c>
      <c r="E12" s="0" t="n">
        <v>5575486492.11091</v>
      </c>
      <c r="F12" s="0" t="n">
        <v>59230961578681.4</v>
      </c>
      <c r="G12" s="0" t="n">
        <v>5575486492.11091</v>
      </c>
      <c r="H12" s="0" t="n">
        <v>59695676856261.2</v>
      </c>
      <c r="K12" s="72" t="n">
        <f aca="false">((E12-$I$6)/$I$6)</f>
        <v>0</v>
      </c>
      <c r="L12" s="64" t="n">
        <f aca="false">((F12-$J$6)/$J$6)</f>
        <v>-0.00391483045689589</v>
      </c>
      <c r="M12" s="72" t="n">
        <f aca="false">((G12-$I$6)/$I$6)</f>
        <v>0</v>
      </c>
      <c r="N12" s="64" t="n">
        <f aca="false">((H12-$J$6)/$J$6)</f>
        <v>0.00390027137025332</v>
      </c>
      <c r="R12" s="0" t="s">
        <v>14</v>
      </c>
      <c r="S12" s="64" t="n">
        <v>0.25</v>
      </c>
    </row>
    <row r="13" customFormat="false" ht="15" hidden="false" customHeight="false" outlineLevel="0" collapsed="false">
      <c r="D13" s="0" t="s">
        <v>44</v>
      </c>
      <c r="E13" s="0" t="n">
        <v>5575486492.11091</v>
      </c>
      <c r="F13" s="0" t="n">
        <v>59231394447640.8</v>
      </c>
      <c r="G13" s="0" t="n">
        <v>5575486492.11091</v>
      </c>
      <c r="H13" s="0" t="n">
        <v>59696109725220.6</v>
      </c>
      <c r="K13" s="72" t="n">
        <f aca="false">((E13-$I$6)/$I$6)</f>
        <v>0</v>
      </c>
      <c r="L13" s="64" t="n">
        <f aca="false">((F13-$J$6)/$J$6)</f>
        <v>-0.00390755091357461</v>
      </c>
      <c r="M13" s="72" t="n">
        <f aca="false">((G13-$I$6)/$I$6)</f>
        <v>0</v>
      </c>
      <c r="N13" s="64" t="n">
        <f aca="false">((H13-$J$6)/$J$6)</f>
        <v>0.00390755091357461</v>
      </c>
      <c r="R13" s="0" t="s">
        <v>37</v>
      </c>
      <c r="S13" s="64" t="n">
        <v>0.25</v>
      </c>
    </row>
    <row r="14" customFormat="false" ht="15" hidden="false" customHeight="false" outlineLevel="0" collapsed="false">
      <c r="D14" s="0" t="s">
        <v>85</v>
      </c>
      <c r="E14" s="0" t="n">
        <v>5575486492.11091</v>
      </c>
      <c r="F14" s="0" t="n">
        <v>59235329733200.8</v>
      </c>
      <c r="G14" s="0" t="n">
        <v>5575486492.11091</v>
      </c>
      <c r="H14" s="0" t="n">
        <v>59691308701741.8</v>
      </c>
      <c r="K14" s="72" t="n">
        <f aca="false">((E14-$I$6)/$I$6)</f>
        <v>0</v>
      </c>
      <c r="L14" s="64" t="n">
        <f aca="false">((F14-$J$6)/$J$6)</f>
        <v>-0.00384137134329927</v>
      </c>
      <c r="M14" s="72" t="n">
        <f aca="false">((G14-$I$6)/$I$6)</f>
        <v>0</v>
      </c>
      <c r="N14" s="64" t="n">
        <f aca="false">((H14-$J$6)/$J$6)</f>
        <v>0.0038268122566567</v>
      </c>
      <c r="R14" s="0" t="s">
        <v>43</v>
      </c>
      <c r="S14" s="64" t="n">
        <v>0.25</v>
      </c>
    </row>
    <row r="15" customFormat="false" ht="15" hidden="false" customHeight="false" outlineLevel="0" collapsed="false">
      <c r="D15" s="0" t="s">
        <v>50</v>
      </c>
      <c r="E15" s="0" t="n">
        <v>5575486492.11091</v>
      </c>
      <c r="F15" s="0" t="n">
        <v>59235762602160.2</v>
      </c>
      <c r="G15" s="0" t="n">
        <v>5575486492.11091</v>
      </c>
      <c r="H15" s="0" t="n">
        <v>59691741570701.2</v>
      </c>
      <c r="K15" s="72" t="n">
        <f aca="false">((E15-$I$6)/$I$6)</f>
        <v>0</v>
      </c>
      <c r="L15" s="64" t="n">
        <f aca="false">((F15-$J$6)/$J$6)</f>
        <v>-0.00383409179997799</v>
      </c>
      <c r="M15" s="72" t="n">
        <f aca="false">((G15-$I$6)/$I$6)</f>
        <v>0</v>
      </c>
      <c r="N15" s="64" t="n">
        <f aca="false">((H15-$J$6)/$J$6)</f>
        <v>0.00383409179997799</v>
      </c>
      <c r="R15" s="0" t="s">
        <v>39</v>
      </c>
      <c r="S15" s="64" t="n">
        <v>0.25</v>
      </c>
    </row>
    <row r="16" customFormat="false" ht="15" hidden="false" customHeight="false" outlineLevel="0" collapsed="false">
      <c r="D16" s="0" t="s">
        <v>82</v>
      </c>
      <c r="E16" s="0" t="n">
        <v>5575486492.11091</v>
      </c>
      <c r="F16" s="0" t="n">
        <v>59312547432447</v>
      </c>
      <c r="G16" s="0" t="n">
        <v>5575486492.11091</v>
      </c>
      <c r="H16" s="0" t="n">
        <v>59614091002495.7</v>
      </c>
      <c r="K16" s="72" t="n">
        <f aca="false">((E16-$I$6)/$I$6)</f>
        <v>0</v>
      </c>
      <c r="L16" s="64" t="n">
        <f aca="false">((F16-$J$6)/$J$6)</f>
        <v>-0.00254280378681719</v>
      </c>
      <c r="M16" s="72" t="n">
        <f aca="false">((G16-$I$6)/$I$6)</f>
        <v>0</v>
      </c>
      <c r="N16" s="64" t="n">
        <f aca="false">((H16-$J$6)/$J$6)</f>
        <v>0.00252824470017475</v>
      </c>
      <c r="R16" s="0" t="s">
        <v>29</v>
      </c>
      <c r="S16" s="64" t="n">
        <v>0.15853364091535</v>
      </c>
    </row>
    <row r="17" customFormat="false" ht="15" hidden="false" customHeight="false" outlineLevel="0" collapsed="false">
      <c r="D17" s="0" t="s">
        <v>45</v>
      </c>
      <c r="E17" s="0" t="n">
        <v>5575486492.11091</v>
      </c>
      <c r="F17" s="0" t="n">
        <v>59312980301406.3</v>
      </c>
      <c r="G17" s="0" t="n">
        <v>5575486492.11091</v>
      </c>
      <c r="H17" s="0" t="n">
        <v>59614523871455.1</v>
      </c>
      <c r="K17" s="72" t="n">
        <f aca="false">((E17-$I$6)/$I$6)</f>
        <v>0</v>
      </c>
      <c r="L17" s="64" t="n">
        <f aca="false">((F17-$J$6)/$J$6)</f>
        <v>-0.0025355242434959</v>
      </c>
      <c r="M17" s="72" t="n">
        <f aca="false">((G17-$I$6)/$I$6)</f>
        <v>0</v>
      </c>
      <c r="N17" s="64" t="n">
        <f aca="false">((H17-$J$6)/$J$6)</f>
        <v>0.00253552424349603</v>
      </c>
      <c r="R17" s="0" t="s">
        <v>48</v>
      </c>
      <c r="S17" s="64" t="n">
        <v>0.142647248503661</v>
      </c>
    </row>
    <row r="18" customFormat="false" ht="15" hidden="false" customHeight="false" outlineLevel="0" collapsed="false">
      <c r="D18" s="0" t="s">
        <v>36</v>
      </c>
      <c r="E18" s="0" t="n">
        <v>5575486492.11091</v>
      </c>
      <c r="F18" s="0" t="n">
        <v>59353843682394.2</v>
      </c>
      <c r="G18" s="0" t="n">
        <v>5575486492.11091</v>
      </c>
      <c r="H18" s="0" t="n">
        <v>59573660490467.2</v>
      </c>
      <c r="K18" s="72" t="n">
        <f aca="false">((E18-$I$6)/$I$6)</f>
        <v>0</v>
      </c>
      <c r="L18" s="64" t="n">
        <f aca="false">((F18-$J$6)/$J$6)</f>
        <v>-0.00184832608404388</v>
      </c>
      <c r="M18" s="72" t="n">
        <f aca="false">((G18-$I$6)/$I$6)</f>
        <v>0</v>
      </c>
      <c r="N18" s="64" t="n">
        <f aca="false">((H18-$J$6)/$J$6)</f>
        <v>0.00184832608404375</v>
      </c>
      <c r="R18" s="0" t="s">
        <v>41</v>
      </c>
      <c r="S18" s="64" t="n">
        <v>0.107352751496339</v>
      </c>
    </row>
    <row r="19" customFormat="false" ht="15" hidden="false" customHeight="false" outlineLevel="0" collapsed="false">
      <c r="D19" s="0" t="s">
        <v>71</v>
      </c>
      <c r="E19" s="0" t="n">
        <v>5575486492.11091</v>
      </c>
      <c r="F19" s="0" t="n">
        <v>59445643691570.9</v>
      </c>
      <c r="G19" s="0" t="n">
        <v>5575486492.11091</v>
      </c>
      <c r="H19" s="0" t="n">
        <v>59480994743371.8</v>
      </c>
      <c r="K19" s="72" t="n">
        <f aca="false">((E19-$I$6)/$I$6)</f>
        <v>0</v>
      </c>
      <c r="L19" s="64" t="n">
        <f aca="false">((F19-$J$6)/$J$6)</f>
        <v>-0.000304528292016633</v>
      </c>
      <c r="M19" s="72" t="n">
        <f aca="false">((G19-$I$6)/$I$6)</f>
        <v>0</v>
      </c>
      <c r="N19" s="64" t="n">
        <f aca="false">((H19-$J$6)/$J$6)</f>
        <v>0.000289969205374193</v>
      </c>
      <c r="R19" s="0" t="s">
        <v>13</v>
      </c>
      <c r="S19" s="64" t="n">
        <v>0.0178221670086974</v>
      </c>
    </row>
    <row r="20" customFormat="false" ht="15" hidden="false" customHeight="false" outlineLevel="0" collapsed="false">
      <c r="D20" s="0" t="s">
        <v>38</v>
      </c>
      <c r="E20" s="0" t="n">
        <v>5575486492.11091</v>
      </c>
      <c r="F20" s="0" t="n">
        <v>59446076560530.3</v>
      </c>
      <c r="G20" s="0" t="n">
        <v>5575486492.11091</v>
      </c>
      <c r="H20" s="0" t="n">
        <v>59481427612331.1</v>
      </c>
      <c r="K20" s="72" t="n">
        <f aca="false">((E20-$I$6)/$I$6)</f>
        <v>0</v>
      </c>
      <c r="L20" s="64" t="n">
        <f aca="false">((F20-$J$6)/$J$6)</f>
        <v>-0.000297248748695347</v>
      </c>
      <c r="M20" s="72" t="n">
        <f aca="false">((G20-$I$6)/$I$6)</f>
        <v>0</v>
      </c>
      <c r="N20" s="64" t="n">
        <f aca="false">((H20-$J$6)/$J$6)</f>
        <v>0.000297248748695479</v>
      </c>
      <c r="R20" s="0" t="s">
        <v>23</v>
      </c>
      <c r="S20" s="64" t="n">
        <v>0.0178221670086974</v>
      </c>
    </row>
    <row r="21" customFormat="false" ht="15" hidden="false" customHeight="false" outlineLevel="0" collapsed="false">
      <c r="D21" s="0" t="s">
        <v>135</v>
      </c>
      <c r="E21" s="0" t="n">
        <v>5575486492.11091</v>
      </c>
      <c r="F21" s="0" t="n">
        <v>59462886348512</v>
      </c>
      <c r="G21" s="0" t="n">
        <v>5575486492.11091</v>
      </c>
      <c r="H21" s="0" t="n">
        <v>59463752086430.7</v>
      </c>
      <c r="K21" s="72" t="n">
        <f aca="false">((E21-$I$6)/$I$6)</f>
        <v>0</v>
      </c>
      <c r="L21" s="64" t="n">
        <f aca="false">((F21-$J$6)/$J$6)</f>
        <v>-1.45590866424403E-005</v>
      </c>
      <c r="M21" s="72" t="n">
        <f aca="false">((G21-$I$6)/$I$6)</f>
        <v>0</v>
      </c>
      <c r="N21" s="64" t="n">
        <f aca="false">((H21-$J$6)/$J$6)</f>
        <v>0</v>
      </c>
    </row>
    <row r="22" customFormat="false" ht="15" hidden="false" customHeight="false" outlineLevel="0" collapsed="false">
      <c r="D22" s="0" t="s">
        <v>133</v>
      </c>
      <c r="E22" s="0" t="n">
        <v>5575486492.11091</v>
      </c>
      <c r="F22" s="0" t="n">
        <v>59462886348512</v>
      </c>
      <c r="G22" s="0" t="n">
        <v>5575486492.11091</v>
      </c>
      <c r="H22" s="0" t="n">
        <v>59463752086430.7</v>
      </c>
      <c r="K22" s="72" t="n">
        <f aca="false">((E22-$I$6)/$I$6)</f>
        <v>0</v>
      </c>
      <c r="L22" s="64" t="n">
        <f aca="false">((F22-$J$6)/$J$6)</f>
        <v>-1.45590866424403E-005</v>
      </c>
      <c r="M22" s="72" t="n">
        <f aca="false">((G22-$I$6)/$I$6)</f>
        <v>0</v>
      </c>
      <c r="N22" s="64" t="n">
        <f aca="false">((H22-$J$6)/$J$6)</f>
        <v>0</v>
      </c>
    </row>
    <row r="23" customFormat="false" ht="30" hidden="false" customHeight="true" outlineLevel="0" collapsed="false">
      <c r="D23" s="0" t="s">
        <v>140</v>
      </c>
      <c r="E23" s="0" t="n">
        <v>5575486492.11091</v>
      </c>
      <c r="F23" s="0" t="n">
        <v>59462886348512</v>
      </c>
      <c r="G23" s="0" t="n">
        <v>5575486492.11091</v>
      </c>
      <c r="H23" s="0" t="n">
        <v>59463752086430.7</v>
      </c>
      <c r="K23" s="72" t="n">
        <f aca="false">((E23-$I$6)/$I$6)</f>
        <v>0</v>
      </c>
      <c r="L23" s="64" t="n">
        <f aca="false">((F23-$J$6)/$J$6)</f>
        <v>-1.45590866424403E-005</v>
      </c>
      <c r="M23" s="72" t="n">
        <f aca="false">((G23-$I$6)/$I$6)</f>
        <v>0</v>
      </c>
      <c r="N23" s="64" t="n">
        <f aca="false">((H23-$J$6)/$J$6)</f>
        <v>0</v>
      </c>
      <c r="R23" s="26" t="s">
        <v>55</v>
      </c>
      <c r="S23" s="26"/>
    </row>
    <row r="24" customFormat="false" ht="15" hidden="false" customHeight="false" outlineLevel="0" collapsed="false">
      <c r="D24" s="0" t="s">
        <v>137</v>
      </c>
      <c r="E24" s="0" t="n">
        <v>5575486492.11091</v>
      </c>
      <c r="F24" s="0" t="n">
        <v>59462886348512</v>
      </c>
      <c r="G24" s="0" t="n">
        <v>5575486492.11091</v>
      </c>
      <c r="H24" s="0" t="n">
        <v>59463752086430.7</v>
      </c>
      <c r="K24" s="72" t="n">
        <f aca="false">((E24-$I$6)/$I$6)</f>
        <v>0</v>
      </c>
      <c r="L24" s="64" t="n">
        <f aca="false">((F24-$J$6)/$J$6)</f>
        <v>-1.45590866424403E-005</v>
      </c>
      <c r="M24" s="72" t="n">
        <f aca="false">((G24-$I$6)/$I$6)</f>
        <v>0</v>
      </c>
      <c r="N24" s="64" t="n">
        <f aca="false">((H24-$J$6)/$J$6)</f>
        <v>0</v>
      </c>
      <c r="R24" s="0" t="s">
        <v>28</v>
      </c>
      <c r="S24" s="64" t="n">
        <v>0.33332362084795</v>
      </c>
    </row>
    <row r="25" customFormat="false" ht="15" hidden="false" customHeight="false" outlineLevel="0" collapsed="false">
      <c r="D25" s="0" t="s">
        <v>138</v>
      </c>
      <c r="E25" s="0" t="n">
        <v>5575486492.11091</v>
      </c>
      <c r="F25" s="0" t="n">
        <v>59462886348512</v>
      </c>
      <c r="G25" s="0" t="n">
        <v>5575486492.11091</v>
      </c>
      <c r="H25" s="0" t="n">
        <v>59463752086430.7</v>
      </c>
      <c r="K25" s="72" t="n">
        <f aca="false">((E25-$I$6)/$I$6)</f>
        <v>0</v>
      </c>
      <c r="L25" s="64" t="n">
        <f aca="false">((F25-$J$6)/$J$6)</f>
        <v>-1.45590866424403E-005</v>
      </c>
      <c r="M25" s="72" t="n">
        <f aca="false">((G25-$I$6)/$I$6)</f>
        <v>0</v>
      </c>
      <c r="N25" s="64" t="n">
        <f aca="false">((H25-$J$6)/$J$6)</f>
        <v>0</v>
      </c>
      <c r="R25" s="0" t="s">
        <v>30</v>
      </c>
      <c r="S25" s="64" t="n">
        <v>0.33332362084795</v>
      </c>
    </row>
    <row r="26" customFormat="false" ht="15" hidden="false" customHeight="false" outlineLevel="0" collapsed="false">
      <c r="D26" s="0" t="s">
        <v>134</v>
      </c>
      <c r="E26" s="0" t="n">
        <v>5575486492.11091</v>
      </c>
      <c r="F26" s="0" t="n">
        <v>59462886348512</v>
      </c>
      <c r="G26" s="0" t="n">
        <v>5575486492.11091</v>
      </c>
      <c r="H26" s="0" t="n">
        <v>59463752086430.7</v>
      </c>
      <c r="K26" s="72" t="n">
        <f aca="false">((E26-$I$6)/$I$6)</f>
        <v>0</v>
      </c>
      <c r="L26" s="64" t="n">
        <f aca="false">((F26-$J$6)/$J$6)</f>
        <v>-1.45590866424403E-005</v>
      </c>
      <c r="M26" s="72" t="n">
        <f aca="false">((G26-$I$6)/$I$6)</f>
        <v>0</v>
      </c>
      <c r="N26" s="64" t="n">
        <f aca="false">((H26-$J$6)/$J$6)</f>
        <v>0</v>
      </c>
      <c r="R26" s="0" t="s">
        <v>61</v>
      </c>
      <c r="S26" s="64" t="n">
        <v>0.333309228174975</v>
      </c>
    </row>
    <row r="27" customFormat="false" ht="15" hidden="false" customHeight="false" outlineLevel="0" collapsed="false">
      <c r="D27" s="0" t="s">
        <v>124</v>
      </c>
      <c r="E27" s="0" t="n">
        <v>5575486492.11091</v>
      </c>
      <c r="F27" s="0" t="n">
        <v>59462886608222.3</v>
      </c>
      <c r="G27" s="0" t="n">
        <v>5575486492.11091</v>
      </c>
      <c r="H27" s="0" t="n">
        <v>59463751826720.4</v>
      </c>
      <c r="K27" s="72" t="n">
        <f aca="false">((E27-$I$6)/$I$6)</f>
        <v>0</v>
      </c>
      <c r="L27" s="64" t="n">
        <f aca="false">((F27-$J$6)/$J$6)</f>
        <v>-1.45547191024956E-005</v>
      </c>
      <c r="M27" s="72" t="n">
        <f aca="false">((G27-$I$6)/$I$6)</f>
        <v>0</v>
      </c>
      <c r="N27" s="64" t="n">
        <f aca="false">((H27-$J$6)/$J$6)</f>
        <v>-4.36753994471305E-009</v>
      </c>
      <c r="R27" s="0" t="s">
        <v>43</v>
      </c>
      <c r="S27" s="64" t="n">
        <v>0.250005455289951</v>
      </c>
    </row>
    <row r="28" customFormat="false" ht="15" hidden="false" customHeight="false" outlineLevel="0" collapsed="false">
      <c r="D28" s="0" t="s">
        <v>26</v>
      </c>
      <c r="E28" s="0" t="n">
        <v>3557363695.87075</v>
      </c>
      <c r="F28" s="0" t="n">
        <v>59463016499051.9</v>
      </c>
      <c r="G28" s="0" t="n">
        <v>8738507580.71061</v>
      </c>
      <c r="H28" s="0" t="n">
        <v>59463793670634.6</v>
      </c>
      <c r="K28" s="72" t="n">
        <f aca="false">((E28-$I$6)/$I$6)</f>
        <v>-0.361963534320409</v>
      </c>
      <c r="L28" s="64" t="n">
        <f aca="false">((F28-$J$6)/$J$6)</f>
        <v>-1.2370349212537E-005</v>
      </c>
      <c r="M28" s="72" t="n">
        <f aca="false">((G28-$I$6)/$I$6)</f>
        <v>0.56730853766308</v>
      </c>
      <c r="N28" s="64" t="n">
        <f aca="false">((H28-$J$6)/$J$6)</f>
        <v>6.99320215603697E-007</v>
      </c>
      <c r="R28" s="0" t="s">
        <v>62</v>
      </c>
      <c r="S28" s="64" t="n">
        <v>0.249994660332044</v>
      </c>
    </row>
    <row r="29" customFormat="false" ht="15" hidden="false" customHeight="false" outlineLevel="0" collapsed="false">
      <c r="D29" s="0" t="s">
        <v>37</v>
      </c>
      <c r="E29" s="0" t="n">
        <v>4181614869.08318</v>
      </c>
      <c r="F29" s="0" t="n">
        <v>59463110136727.9</v>
      </c>
      <c r="G29" s="0" t="n">
        <v>6969358115.13864</v>
      </c>
      <c r="H29" s="0" t="n">
        <v>59463528298214.8</v>
      </c>
      <c r="K29" s="72" t="n">
        <f aca="false">((E29-$I$6)/$I$6)</f>
        <v>-0.25</v>
      </c>
      <c r="L29" s="64" t="n">
        <f aca="false">((F29-$J$6)/$J$6)</f>
        <v>-1.0795647437236E-005</v>
      </c>
      <c r="M29" s="72" t="n">
        <f aca="false">((G29-$I$6)/$I$6)</f>
        <v>0.25</v>
      </c>
      <c r="N29" s="64" t="n">
        <f aca="false">((H29-$J$6)/$J$6)</f>
        <v>-3.76343920546711E-006</v>
      </c>
      <c r="R29" s="0" t="s">
        <v>67</v>
      </c>
      <c r="S29" s="64" t="n">
        <v>0.237564574319464</v>
      </c>
    </row>
    <row r="30" customFormat="false" ht="15" hidden="false" customHeight="false" outlineLevel="0" collapsed="false">
      <c r="D30" s="0" t="s">
        <v>39</v>
      </c>
      <c r="E30" s="0" t="n">
        <v>4181614869.08318</v>
      </c>
      <c r="F30" s="0" t="n">
        <v>59463110136727.9</v>
      </c>
      <c r="G30" s="0" t="n">
        <v>6969358115.13864</v>
      </c>
      <c r="H30" s="0" t="n">
        <v>59463528298214.8</v>
      </c>
      <c r="K30" s="72" t="n">
        <f aca="false">((E30-$I$6)/$I$6)</f>
        <v>-0.25</v>
      </c>
      <c r="L30" s="64" t="n">
        <f aca="false">((F30-$J$6)/$J$6)</f>
        <v>-1.0795647437236E-005</v>
      </c>
      <c r="M30" s="72" t="n">
        <f aca="false">((G30-$I$6)/$I$6)</f>
        <v>0.25</v>
      </c>
      <c r="N30" s="64" t="n">
        <f aca="false">((H30-$J$6)/$J$6)</f>
        <v>-3.76343920546711E-006</v>
      </c>
      <c r="R30" s="0" t="s">
        <v>47</v>
      </c>
      <c r="S30" s="64" t="n">
        <v>0.237557294776142</v>
      </c>
    </row>
    <row r="31" customFormat="false" ht="15" hidden="false" customHeight="false" outlineLevel="0" collapsed="false">
      <c r="D31" s="0" t="s">
        <v>49</v>
      </c>
      <c r="E31" s="0" t="n">
        <v>5575486492.11091</v>
      </c>
      <c r="F31" s="0" t="n">
        <v>59463110136727.9</v>
      </c>
      <c r="G31" s="0" t="n">
        <v>5575486492.11091</v>
      </c>
      <c r="H31" s="0" t="n">
        <v>59463528298214.8</v>
      </c>
      <c r="K31" s="72" t="n">
        <f aca="false">((E31-$I$6)/$I$6)</f>
        <v>0</v>
      </c>
      <c r="L31" s="64" t="n">
        <f aca="false">((F31-$J$6)/$J$6)</f>
        <v>-1.0795647437236E-005</v>
      </c>
      <c r="M31" s="72" t="n">
        <f aca="false">((G31-$I$6)/$I$6)</f>
        <v>0</v>
      </c>
      <c r="N31" s="64" t="n">
        <f aca="false">((H31-$J$6)/$J$6)</f>
        <v>-3.76343920546711E-006</v>
      </c>
      <c r="R31" s="0" t="s">
        <v>41</v>
      </c>
      <c r="S31" s="64" t="n">
        <v>0.221828580707914</v>
      </c>
    </row>
    <row r="32" customFormat="false" ht="15" hidden="false" customHeight="false" outlineLevel="0" collapsed="false">
      <c r="D32" s="0" t="s">
        <v>197</v>
      </c>
      <c r="E32" s="0" t="n">
        <v>5575486492.11091</v>
      </c>
      <c r="F32" s="0" t="n">
        <v>59463127934575.9</v>
      </c>
      <c r="G32" s="0" t="n">
        <v>5575486492.11091</v>
      </c>
      <c r="H32" s="0" t="n">
        <v>59463510500366.8</v>
      </c>
      <c r="K32" s="72" t="n">
        <f aca="false">((E32-$I$6)/$I$6)</f>
        <v>0</v>
      </c>
      <c r="L32" s="64" t="n">
        <f aca="false">((F32-$J$6)/$J$6)</f>
        <v>-1.04963416021334E-005</v>
      </c>
      <c r="M32" s="72" t="n">
        <f aca="false">((G32-$I$6)/$I$6)</f>
        <v>0</v>
      </c>
      <c r="N32" s="64" t="n">
        <f aca="false">((H32-$J$6)/$J$6)</f>
        <v>-4.06274504030694E-006</v>
      </c>
      <c r="R32" s="0" t="s">
        <v>25</v>
      </c>
      <c r="S32" s="64" t="n">
        <v>0.0569996039451294</v>
      </c>
    </row>
    <row r="33" customFormat="false" ht="15" hidden="false" customHeight="false" outlineLevel="0" collapsed="false">
      <c r="D33" s="0" t="s">
        <v>88</v>
      </c>
      <c r="E33" s="0" t="n">
        <v>5575486492.11091</v>
      </c>
      <c r="F33" s="0" t="n">
        <v>59463134072901.2</v>
      </c>
      <c r="G33" s="0" t="n">
        <v>5575486492.11091</v>
      </c>
      <c r="H33" s="0" t="n">
        <v>59463504362041.5</v>
      </c>
      <c r="K33" s="72" t="n">
        <f aca="false">((E33-$I$6)/$I$6)</f>
        <v>0</v>
      </c>
      <c r="L33" s="64" t="n">
        <f aca="false">((F33-$J$6)/$J$6)</f>
        <v>-1.03931135830367E-005</v>
      </c>
      <c r="M33" s="72" t="n">
        <f aca="false">((G33-$I$6)/$I$6)</f>
        <v>0</v>
      </c>
      <c r="N33" s="64" t="n">
        <f aca="false">((H33-$J$6)/$J$6)</f>
        <v>-4.16597305953499E-006</v>
      </c>
      <c r="R33" s="0" t="s">
        <v>27</v>
      </c>
      <c r="S33" s="64" t="n">
        <v>0.0569996039451294</v>
      </c>
    </row>
    <row r="34" customFormat="false" ht="15" hidden="false" customHeight="false" outlineLevel="0" collapsed="false">
      <c r="D34" s="0" t="s">
        <v>89</v>
      </c>
      <c r="E34" s="0" t="n">
        <v>5575486492.11091</v>
      </c>
      <c r="F34" s="0" t="n">
        <v>59463164728630</v>
      </c>
      <c r="G34" s="0" t="n">
        <v>5575486492.11091</v>
      </c>
      <c r="H34" s="0" t="n">
        <v>59463473706312.6</v>
      </c>
      <c r="K34" s="72" t="n">
        <f aca="false">((E34-$I$6)/$I$6)</f>
        <v>0</v>
      </c>
      <c r="L34" s="64" t="n">
        <f aca="false">((F34-$J$6)/$J$6)</f>
        <v>-9.87757718017061E-006</v>
      </c>
      <c r="M34" s="72" t="n">
        <f aca="false">((G34-$I$6)/$I$6)</f>
        <v>0</v>
      </c>
      <c r="N34" s="64" t="n">
        <f aca="false">((H34-$J$6)/$J$6)</f>
        <v>-4.68150946226974E-006</v>
      </c>
      <c r="R34" s="0" t="s">
        <v>31</v>
      </c>
      <c r="S34" s="64" t="n">
        <v>0.0375670387596748</v>
      </c>
    </row>
    <row r="35" customFormat="false" ht="15" hidden="false" customHeight="false" outlineLevel="0" collapsed="false">
      <c r="D35" s="0" t="s">
        <v>95</v>
      </c>
      <c r="E35" s="0" t="n">
        <v>5575486492.11091</v>
      </c>
      <c r="F35" s="0" t="n">
        <v>59463191815964</v>
      </c>
      <c r="G35" s="0" t="n">
        <v>5575486492.11091</v>
      </c>
      <c r="H35" s="0" t="n">
        <v>59463446618978.7</v>
      </c>
      <c r="K35" s="72" t="n">
        <f aca="false">((E35-$I$6)/$I$6)</f>
        <v>0</v>
      </c>
      <c r="L35" s="64" t="n">
        <f aca="false">((F35-$J$6)/$J$6)</f>
        <v>-9.42205035942562E-006</v>
      </c>
      <c r="M35" s="72" t="n">
        <f aca="false">((G35-$I$6)/$I$6)</f>
        <v>0</v>
      </c>
      <c r="N35" s="64" t="n">
        <f aca="false">((H35-$J$6)/$J$6)</f>
        <v>-5.13703628314612E-006</v>
      </c>
      <c r="R35" s="0" t="s">
        <v>33</v>
      </c>
      <c r="S35" s="64" t="n">
        <v>0.0375670387596748</v>
      </c>
    </row>
    <row r="36" customFormat="false" ht="15" hidden="false" customHeight="false" outlineLevel="0" collapsed="false">
      <c r="D36" s="0" t="s">
        <v>103</v>
      </c>
      <c r="E36" s="0" t="n">
        <v>5575486492.11091</v>
      </c>
      <c r="F36" s="0" t="n">
        <v>59463192753492.1</v>
      </c>
      <c r="G36" s="0" t="n">
        <v>5575486492.11091</v>
      </c>
      <c r="H36" s="0" t="n">
        <v>59463445681450.5</v>
      </c>
      <c r="K36" s="72" t="n">
        <f aca="false">((E36-$I$6)/$I$6)</f>
        <v>0</v>
      </c>
      <c r="L36" s="64" t="n">
        <f aca="false">((F36-$J$6)/$J$6)</f>
        <v>-9.4062839785437E-006</v>
      </c>
      <c r="M36" s="72" t="n">
        <f aca="false">((G36-$I$6)/$I$6)</f>
        <v>0</v>
      </c>
      <c r="N36" s="64" t="n">
        <f aca="false">((H36-$J$6)/$J$6)</f>
        <v>-5.15280266402803E-006</v>
      </c>
      <c r="R36" s="0" t="s">
        <v>48</v>
      </c>
      <c r="S36" s="64" t="n">
        <v>0.0281841536721815</v>
      </c>
    </row>
    <row r="37" customFormat="false" ht="15" hidden="false" customHeight="false" outlineLevel="0" collapsed="false">
      <c r="D37" s="0" t="s">
        <v>72</v>
      </c>
      <c r="E37" s="0" t="n">
        <v>5575486492.11091</v>
      </c>
      <c r="F37" s="0" t="n">
        <v>59463211000231.5</v>
      </c>
      <c r="G37" s="0" t="n">
        <v>5575486492.11091</v>
      </c>
      <c r="H37" s="0" t="n">
        <v>59464293172629.9</v>
      </c>
      <c r="K37" s="72" t="n">
        <f aca="false">((E37-$I$6)/$I$6)</f>
        <v>0</v>
      </c>
      <c r="L37" s="64" t="n">
        <f aca="false">((F37-$J$6)/$J$6)</f>
        <v>-9.09942915154164E-006</v>
      </c>
      <c r="M37" s="72" t="n">
        <f aca="false">((G37-$I$6)/$I$6)</f>
        <v>0</v>
      </c>
      <c r="N37" s="64" t="n">
        <f aca="false">((H37-$J$6)/$J$6)</f>
        <v>9.09942915154164E-006</v>
      </c>
      <c r="S37" s="64"/>
    </row>
    <row r="38" customFormat="false" ht="15" hidden="false" customHeight="false" outlineLevel="0" collapsed="false">
      <c r="D38" s="0" t="s">
        <v>99</v>
      </c>
      <c r="E38" s="0" t="n">
        <v>5575486492.11091</v>
      </c>
      <c r="F38" s="0" t="n">
        <v>59463252496179.1</v>
      </c>
      <c r="G38" s="0" t="n">
        <v>5575486492.11091</v>
      </c>
      <c r="H38" s="0" t="n">
        <v>59463385938763.5</v>
      </c>
      <c r="K38" s="72" t="n">
        <f aca="false">((E38-$I$6)/$I$6)</f>
        <v>0</v>
      </c>
      <c r="L38" s="64" t="n">
        <f aca="false">((F38-$J$6)/$J$6)</f>
        <v>-8.40159313910316E-006</v>
      </c>
      <c r="M38" s="72" t="n">
        <f aca="false">((G38-$I$6)/$I$6)</f>
        <v>0</v>
      </c>
      <c r="N38" s="64" t="n">
        <f aca="false">((H38-$J$6)/$J$6)</f>
        <v>-6.15749350333719E-006</v>
      </c>
      <c r="S38" s="64"/>
    </row>
    <row r="39" customFormat="false" ht="15" hidden="false" customHeight="false" outlineLevel="0" collapsed="false">
      <c r="D39" s="0" t="s">
        <v>100</v>
      </c>
      <c r="E39" s="0" t="n">
        <v>5575486492.11091</v>
      </c>
      <c r="F39" s="0" t="n">
        <v>59463288561742.5</v>
      </c>
      <c r="G39" s="0" t="n">
        <v>5575486492.11091</v>
      </c>
      <c r="H39" s="0" t="n">
        <v>59463349873200.2</v>
      </c>
      <c r="K39" s="72" t="n">
        <f aca="false">((E39-$I$6)/$I$6)</f>
        <v>0</v>
      </c>
      <c r="L39" s="64" t="n">
        <f aca="false">((F39-$J$6)/$J$6)</f>
        <v>-7.79507972402062E-006</v>
      </c>
      <c r="M39" s="72" t="n">
        <f aca="false">((G39-$I$6)/$I$6)</f>
        <v>0</v>
      </c>
      <c r="N39" s="64" t="n">
        <f aca="false">((H39-$J$6)/$J$6)</f>
        <v>-6.76400691841972E-006</v>
      </c>
      <c r="R39" s="66" t="s">
        <v>87</v>
      </c>
      <c r="S39" s="66"/>
    </row>
    <row r="40" customFormat="false" ht="15" hidden="false" customHeight="false" outlineLevel="0" collapsed="false">
      <c r="D40" s="0" t="s">
        <v>94</v>
      </c>
      <c r="E40" s="0" t="n">
        <v>5575486492.11091</v>
      </c>
      <c r="F40" s="0" t="n">
        <v>59463289472323.1</v>
      </c>
      <c r="G40" s="0" t="n">
        <v>5575486492.11091</v>
      </c>
      <c r="H40" s="0" t="n">
        <v>59463348962619.6</v>
      </c>
      <c r="K40" s="72" t="n">
        <f aca="false">((E40-$I$6)/$I$6)</f>
        <v>0</v>
      </c>
      <c r="L40" s="64" t="n">
        <f aca="false">((F40-$J$6)/$J$6)</f>
        <v>-7.77976651969047E-006</v>
      </c>
      <c r="M40" s="72" t="n">
        <f aca="false">((G40-$I$6)/$I$6)</f>
        <v>0</v>
      </c>
      <c r="N40" s="64" t="n">
        <f aca="false">((H40-$J$6)/$J$6)</f>
        <v>-6.77932012274988E-006</v>
      </c>
      <c r="R40" s="0" t="s">
        <v>26</v>
      </c>
      <c r="S40" s="72" t="n">
        <v>0.56730853766308</v>
      </c>
    </row>
    <row r="41" customFormat="false" ht="15" hidden="false" customHeight="false" outlineLevel="0" collapsed="false">
      <c r="D41" s="0" t="s">
        <v>64</v>
      </c>
      <c r="E41" s="0" t="n">
        <v>5575486492.11091</v>
      </c>
      <c r="F41" s="0" t="n">
        <v>59463319025710.7</v>
      </c>
      <c r="G41" s="0" t="n">
        <v>5575486492.11091</v>
      </c>
      <c r="H41" s="0" t="n">
        <v>59463319409232</v>
      </c>
      <c r="K41" s="72" t="n">
        <f aca="false">((E41-$I$6)/$I$6)</f>
        <v>0</v>
      </c>
      <c r="L41" s="64" t="n">
        <f aca="false">((F41-$J$6)/$J$6)</f>
        <v>-7.28276815431686E-006</v>
      </c>
      <c r="M41" s="72" t="n">
        <f aca="false">((G41-$I$6)/$I$6)</f>
        <v>0</v>
      </c>
      <c r="N41" s="64" t="n">
        <f aca="false">((H41-$J$6)/$J$6)</f>
        <v>-7.27631848812349E-006</v>
      </c>
      <c r="R41" s="0" t="s">
        <v>14</v>
      </c>
      <c r="S41" s="72" t="n">
        <v>0.25</v>
      </c>
    </row>
    <row r="42" customFormat="false" ht="15" hidden="false" customHeight="false" outlineLevel="0" collapsed="false">
      <c r="D42" s="0" t="s">
        <v>122</v>
      </c>
      <c r="E42" s="0" t="n">
        <v>5575486492.11091</v>
      </c>
      <c r="F42" s="0" t="n">
        <v>59463319157073.6</v>
      </c>
      <c r="G42" s="0" t="n">
        <v>5575486492.11091</v>
      </c>
      <c r="H42" s="0" t="n">
        <v>59463319277869.1</v>
      </c>
      <c r="K42" s="72" t="n">
        <f aca="false">((E42-$I$6)/$I$6)</f>
        <v>0</v>
      </c>
      <c r="L42" s="64" t="n">
        <f aca="false">((F42-$J$6)/$J$6)</f>
        <v>-7.28055902816726E-006</v>
      </c>
      <c r="M42" s="72" t="n">
        <f aca="false">((G42-$I$6)/$I$6)</f>
        <v>0</v>
      </c>
      <c r="N42" s="64" t="n">
        <f aca="false">((H42-$J$6)/$J$6)</f>
        <v>-7.27852761427309E-006</v>
      </c>
      <c r="R42" s="0" t="s">
        <v>39</v>
      </c>
      <c r="S42" s="72" t="n">
        <v>0.25</v>
      </c>
    </row>
    <row r="43" customFormat="false" ht="15" hidden="false" customHeight="false" outlineLevel="0" collapsed="false">
      <c r="D43" s="0" t="s">
        <v>119</v>
      </c>
      <c r="E43" s="0" t="n">
        <v>5575486492.11091</v>
      </c>
      <c r="F43" s="0" t="n">
        <v>59463319157073.6</v>
      </c>
      <c r="G43" s="0" t="n">
        <v>5575486492.11091</v>
      </c>
      <c r="H43" s="0" t="n">
        <v>59463319277869.1</v>
      </c>
      <c r="K43" s="72" t="n">
        <f aca="false">((E43-$I$6)/$I$6)</f>
        <v>0</v>
      </c>
      <c r="L43" s="64" t="n">
        <f aca="false">((F43-$J$6)/$J$6)</f>
        <v>-7.28055902816726E-006</v>
      </c>
      <c r="M43" s="72" t="n">
        <f aca="false">((G43-$I$6)/$I$6)</f>
        <v>0</v>
      </c>
      <c r="N43" s="64" t="n">
        <f aca="false">((H43-$J$6)/$J$6)</f>
        <v>-7.27852761427309E-006</v>
      </c>
      <c r="R43" s="0" t="s">
        <v>37</v>
      </c>
      <c r="S43" s="72" t="n">
        <v>0.25</v>
      </c>
    </row>
    <row r="44" customFormat="false" ht="15" hidden="false" customHeight="false" outlineLevel="0" collapsed="false">
      <c r="D44" s="0" t="s">
        <v>123</v>
      </c>
      <c r="E44" s="0" t="n">
        <v>5575486492.11091</v>
      </c>
      <c r="F44" s="0" t="n">
        <v>59463319157073.6</v>
      </c>
      <c r="G44" s="0" t="n">
        <v>5575486492.11091</v>
      </c>
      <c r="H44" s="0" t="n">
        <v>59463319277869.1</v>
      </c>
      <c r="K44" s="72" t="n">
        <f aca="false">((E44-$I$6)/$I$6)</f>
        <v>0</v>
      </c>
      <c r="L44" s="64" t="n">
        <f aca="false">((F44-$J$6)/$J$6)</f>
        <v>-7.28055902816726E-006</v>
      </c>
      <c r="M44" s="72" t="n">
        <f aca="false">((G44-$I$6)/$I$6)</f>
        <v>0</v>
      </c>
      <c r="N44" s="64" t="n">
        <f aca="false">((H44-$J$6)/$J$6)</f>
        <v>-7.27852761427309E-006</v>
      </c>
      <c r="R44" s="0" t="s">
        <v>43</v>
      </c>
      <c r="S44" s="72" t="n">
        <v>0.25</v>
      </c>
    </row>
    <row r="45" customFormat="false" ht="15" hidden="false" customHeight="false" outlineLevel="0" collapsed="false">
      <c r="D45" s="0" t="s">
        <v>75</v>
      </c>
      <c r="E45" s="0" t="n">
        <v>5575486492.11091</v>
      </c>
      <c r="F45" s="0" t="n">
        <v>59463319168153.5</v>
      </c>
      <c r="G45" s="0" t="n">
        <v>5575486492.11091</v>
      </c>
      <c r="H45" s="0" t="n">
        <v>59463319266789.2</v>
      </c>
      <c r="K45" s="72" t="n">
        <f aca="false">((E45-$I$6)/$I$6)</f>
        <v>0</v>
      </c>
      <c r="L45" s="64" t="n">
        <f aca="false">((F45-$J$6)/$J$6)</f>
        <v>-7.2803726983983E-006</v>
      </c>
      <c r="M45" s="72" t="n">
        <f aca="false">((G45-$I$6)/$I$6)</f>
        <v>0</v>
      </c>
      <c r="N45" s="64" t="n">
        <f aca="false">((H45-$J$6)/$J$6)</f>
        <v>-7.27871394417343E-006</v>
      </c>
      <c r="R45" s="0" t="s">
        <v>28</v>
      </c>
      <c r="S45" s="72" t="n">
        <v>0.2</v>
      </c>
    </row>
    <row r="46" customFormat="false" ht="15" hidden="false" customHeight="false" outlineLevel="0" collapsed="false">
      <c r="D46" s="0" t="s">
        <v>108</v>
      </c>
      <c r="E46" s="0" t="n">
        <v>5575486492.11091</v>
      </c>
      <c r="F46" s="0" t="n">
        <v>59463319187257.4</v>
      </c>
      <c r="G46" s="0" t="n">
        <v>5575486492.11091</v>
      </c>
      <c r="H46" s="0" t="n">
        <v>59463319247685.3</v>
      </c>
      <c r="K46" s="72" t="n">
        <f aca="false">((E46-$I$6)/$I$6)</f>
        <v>0</v>
      </c>
      <c r="L46" s="64" t="n">
        <f aca="false">((F46-$J$6)/$J$6)</f>
        <v>-7.28005142822921E-006</v>
      </c>
      <c r="M46" s="72" t="n">
        <f aca="false">((G46-$I$6)/$I$6)</f>
        <v>0</v>
      </c>
      <c r="N46" s="64" t="n">
        <f aca="false">((H46-$J$6)/$J$6)</f>
        <v>-7.27903521421114E-006</v>
      </c>
      <c r="R46" s="0" t="s">
        <v>30</v>
      </c>
      <c r="S46" s="72" t="n">
        <v>0.2</v>
      </c>
    </row>
    <row r="47" customFormat="false" ht="15" hidden="false" customHeight="false" outlineLevel="0" collapsed="false">
      <c r="D47" s="0" t="s">
        <v>121</v>
      </c>
      <c r="E47" s="0" t="n">
        <v>5575486492.11091</v>
      </c>
      <c r="F47" s="0" t="n">
        <v>59463319187272.5</v>
      </c>
      <c r="G47" s="0" t="n">
        <v>5575486492.11091</v>
      </c>
      <c r="H47" s="0" t="n">
        <v>59463319247670.2</v>
      </c>
      <c r="K47" s="72" t="n">
        <f aca="false">((E47-$I$6)/$I$6)</f>
        <v>0</v>
      </c>
      <c r="L47" s="64" t="n">
        <f aca="false">((F47-$J$6)/$J$6)</f>
        <v>-7.28005117466087E-006</v>
      </c>
      <c r="M47" s="72" t="n">
        <f aca="false">((G47-$I$6)/$I$6)</f>
        <v>0</v>
      </c>
      <c r="N47" s="64" t="n">
        <f aca="false">((H47-$J$6)/$J$6)</f>
        <v>-7.27903546777948E-006</v>
      </c>
      <c r="R47" s="0" t="s">
        <v>32</v>
      </c>
      <c r="S47" s="72" t="n">
        <v>0.2</v>
      </c>
    </row>
    <row r="48" customFormat="false" ht="15" hidden="false" customHeight="false" outlineLevel="0" collapsed="false">
      <c r="D48" s="0" t="s">
        <v>107</v>
      </c>
      <c r="E48" s="0" t="n">
        <v>5575486492.11091</v>
      </c>
      <c r="F48" s="0" t="n">
        <v>59463319190523.8</v>
      </c>
      <c r="G48" s="0" t="n">
        <v>5575486492.11091</v>
      </c>
      <c r="H48" s="0" t="n">
        <v>59463319244418.9</v>
      </c>
      <c r="K48" s="72" t="n">
        <f aca="false">((E48-$I$6)/$I$6)</f>
        <v>0</v>
      </c>
      <c r="L48" s="64" t="n">
        <f aca="false">((F48-$J$6)/$J$6)</f>
        <v>-7.27999649783762E-006</v>
      </c>
      <c r="M48" s="72" t="n">
        <f aca="false">((G48-$I$6)/$I$6)</f>
        <v>0</v>
      </c>
      <c r="N48" s="64" t="n">
        <f aca="false">((H48-$J$6)/$J$6)</f>
        <v>-7.27909014473411E-006</v>
      </c>
      <c r="R48" s="0" t="s">
        <v>31</v>
      </c>
      <c r="S48" s="72" t="n">
        <v>0.188940842633557</v>
      </c>
    </row>
    <row r="49" customFormat="false" ht="15" hidden="false" customHeight="false" outlineLevel="0" collapsed="false">
      <c r="D49" s="0" t="s">
        <v>120</v>
      </c>
      <c r="E49" s="0" t="n">
        <v>5575486492.11091</v>
      </c>
      <c r="F49" s="0" t="n">
        <v>59463319193312.2</v>
      </c>
      <c r="G49" s="0" t="n">
        <v>5575486492.11091</v>
      </c>
      <c r="H49" s="0" t="n">
        <v>59463319241630.4</v>
      </c>
      <c r="K49" s="72" t="n">
        <f aca="false">((E49-$I$6)/$I$6)</f>
        <v>0</v>
      </c>
      <c r="L49" s="64" t="n">
        <f aca="false">((F49-$J$6)/$J$6)</f>
        <v>-7.27994960398587E-006</v>
      </c>
      <c r="M49" s="72" t="n">
        <f aca="false">((G49-$I$6)/$I$6)</f>
        <v>0</v>
      </c>
      <c r="N49" s="64" t="n">
        <f aca="false">((H49-$J$6)/$J$6)</f>
        <v>-7.27913703845448E-006</v>
      </c>
      <c r="R49" s="0" t="s">
        <v>33</v>
      </c>
      <c r="S49" s="72" t="n">
        <v>0.188940842633557</v>
      </c>
    </row>
    <row r="50" customFormat="false" ht="15" hidden="false" customHeight="false" outlineLevel="0" collapsed="false">
      <c r="D50" s="0" t="s">
        <v>118</v>
      </c>
      <c r="E50" s="0" t="n">
        <v>5575486492.11091</v>
      </c>
      <c r="F50" s="0" t="n">
        <v>59463319205391.8</v>
      </c>
      <c r="G50" s="0" t="n">
        <v>5575486492.11091</v>
      </c>
      <c r="H50" s="0" t="n">
        <v>59463319229550.9</v>
      </c>
      <c r="K50" s="72" t="n">
        <f aca="false">((E50-$I$6)/$I$6)</f>
        <v>0</v>
      </c>
      <c r="L50" s="64" t="n">
        <f aca="false">((F50-$J$6)/$J$6)</f>
        <v>-7.27974646263587E-006</v>
      </c>
      <c r="M50" s="72" t="n">
        <f aca="false">((G50-$I$6)/$I$6)</f>
        <v>0</v>
      </c>
      <c r="N50" s="64" t="n">
        <f aca="false">((H50-$J$6)/$J$6)</f>
        <v>-7.27934017980448E-006</v>
      </c>
      <c r="R50" s="0" t="s">
        <v>29</v>
      </c>
      <c r="S50" s="72" t="n">
        <v>0.143262629818316</v>
      </c>
    </row>
    <row r="51" customFormat="false" ht="15" hidden="false" customHeight="false" outlineLevel="0" collapsed="false">
      <c r="D51" s="0" t="s">
        <v>130</v>
      </c>
      <c r="E51" s="0" t="n">
        <v>5575486492.11091</v>
      </c>
      <c r="F51" s="0" t="n">
        <v>59463319205391.8</v>
      </c>
      <c r="G51" s="0" t="n">
        <v>5575486492.11091</v>
      </c>
      <c r="H51" s="0" t="n">
        <v>59463319229550.9</v>
      </c>
      <c r="K51" s="72" t="n">
        <f aca="false">((E51-$I$6)/$I$6)</f>
        <v>0</v>
      </c>
      <c r="L51" s="64" t="n">
        <f aca="false">((F51-$J$6)/$J$6)</f>
        <v>-7.27974646263587E-006</v>
      </c>
      <c r="M51" s="72" t="n">
        <f aca="false">((G51-$I$6)/$I$6)</f>
        <v>0</v>
      </c>
      <c r="N51" s="64" t="n">
        <f aca="false">((H51-$J$6)/$J$6)</f>
        <v>-7.27934017980448E-006</v>
      </c>
      <c r="R51" s="0" t="s">
        <v>48</v>
      </c>
      <c r="S51" s="72" t="n">
        <v>0.14264724850366</v>
      </c>
    </row>
    <row r="52" customFormat="false" ht="15" hidden="false" customHeight="false" outlineLevel="0" collapsed="false">
      <c r="D52" s="0" t="s">
        <v>46</v>
      </c>
      <c r="E52" s="0" t="n">
        <v>5575486492.11091</v>
      </c>
      <c r="F52" s="0" t="n">
        <v>59463319217471.3</v>
      </c>
      <c r="G52" s="0" t="n">
        <v>5575486492.11091</v>
      </c>
      <c r="H52" s="0" t="n">
        <v>59463319217471.3</v>
      </c>
      <c r="K52" s="72" t="n">
        <f aca="false">((E52-$I$6)/$I$6)</f>
        <v>0</v>
      </c>
      <c r="L52" s="64" t="n">
        <f aca="false">((F52-$J$6)/$J$6)</f>
        <v>-7.27954332128587E-006</v>
      </c>
      <c r="M52" s="72" t="n">
        <f aca="false">((G52-$I$6)/$I$6)</f>
        <v>0</v>
      </c>
      <c r="N52" s="64" t="n">
        <f aca="false">((H52-$J$6)/$J$6)</f>
        <v>-7.27954332128587E-006</v>
      </c>
      <c r="R52" s="0" t="s">
        <v>41</v>
      </c>
      <c r="S52" s="72" t="n">
        <v>0.107352751496339</v>
      </c>
    </row>
    <row r="53" customFormat="false" ht="15" hidden="false" customHeight="false" outlineLevel="0" collapsed="false">
      <c r="D53" s="0" t="s">
        <v>198</v>
      </c>
      <c r="E53" s="0" t="n">
        <v>5575486492.11091</v>
      </c>
      <c r="F53" s="0" t="n">
        <v>59463319217471.3</v>
      </c>
      <c r="G53" s="0" t="n">
        <v>5575486492.11091</v>
      </c>
      <c r="H53" s="0" t="n">
        <v>59463319217471.3</v>
      </c>
      <c r="K53" s="72" t="n">
        <f aca="false">((E53-$I$6)/$I$6)</f>
        <v>0</v>
      </c>
      <c r="L53" s="64" t="n">
        <f aca="false">((F53-$J$6)/$J$6)</f>
        <v>-7.27954332128587E-006</v>
      </c>
      <c r="M53" s="72" t="n">
        <f aca="false">((G53-$I$6)/$I$6)</f>
        <v>0</v>
      </c>
      <c r="N53" s="64" t="n">
        <f aca="false">((H53-$J$6)/$J$6)</f>
        <v>-7.27954332128587E-006</v>
      </c>
      <c r="R53" s="0" t="s">
        <v>13</v>
      </c>
      <c r="S53" s="72" t="n">
        <v>0.0138239467080535</v>
      </c>
    </row>
    <row r="54" customFormat="false" ht="15" hidden="false" customHeight="false" outlineLevel="0" collapsed="false">
      <c r="D54" s="0" t="s">
        <v>109</v>
      </c>
      <c r="E54" s="0" t="n">
        <v>5575486492.11091</v>
      </c>
      <c r="F54" s="0" t="n">
        <v>59463319220737.7</v>
      </c>
      <c r="G54" s="0" t="n">
        <v>5575486492.11091</v>
      </c>
      <c r="H54" s="0" t="n">
        <v>59463319214205</v>
      </c>
      <c r="K54" s="72" t="n">
        <f aca="false">((E54-$I$6)/$I$6)</f>
        <v>0</v>
      </c>
      <c r="L54" s="64" t="n">
        <f aca="false">((F54-$J$6)/$J$6)</f>
        <v>-7.27948839076289E-006</v>
      </c>
      <c r="M54" s="72" t="n">
        <f aca="false">((G54-$I$6)/$I$6)</f>
        <v>0</v>
      </c>
      <c r="N54" s="64" t="n">
        <f aca="false">((H54-$J$6)/$J$6)</f>
        <v>-7.27959825180884E-006</v>
      </c>
      <c r="R54" s="0" t="s">
        <v>23</v>
      </c>
      <c r="S54" s="72" t="n">
        <v>0.0138239467080535</v>
      </c>
    </row>
    <row r="55" customFormat="false" ht="15" hidden="false" customHeight="false" outlineLevel="0" collapsed="false">
      <c r="D55" s="0" t="s">
        <v>101</v>
      </c>
      <c r="E55" s="0" t="n">
        <v>5575486492.11091</v>
      </c>
      <c r="F55" s="0" t="n">
        <v>59463319253401.4</v>
      </c>
      <c r="G55" s="0" t="n">
        <v>5575486492.11091</v>
      </c>
      <c r="H55" s="0" t="n">
        <v>59463319195913.3</v>
      </c>
      <c r="K55" s="72" t="n">
        <f aca="false">((E55-$I$6)/$I$6)</f>
        <v>0</v>
      </c>
      <c r="L55" s="64" t="n">
        <f aca="false">((F55-$J$6)/$J$6)</f>
        <v>-7.27893908592732E-006</v>
      </c>
      <c r="M55" s="72" t="n">
        <f aca="false">((G55-$I$6)/$I$6)</f>
        <v>0</v>
      </c>
      <c r="N55" s="64" t="n">
        <f aca="false">((H55-$J$6)/$J$6)</f>
        <v>-7.27990586252727E-006</v>
      </c>
      <c r="S55" s="72"/>
    </row>
    <row r="56" customFormat="false" ht="15" hidden="false" customHeight="false" outlineLevel="0" collapsed="false">
      <c r="D56" s="0" t="s">
        <v>98</v>
      </c>
      <c r="E56" s="0" t="n">
        <v>5575486492.11091</v>
      </c>
      <c r="F56" s="0" t="n">
        <v>59463355283034.7</v>
      </c>
      <c r="G56" s="0" t="n">
        <v>5575486492.11091</v>
      </c>
      <c r="H56" s="0" t="n">
        <v>59463283151908</v>
      </c>
      <c r="K56" s="72" t="n">
        <f aca="false">((E56-$I$6)/$I$6)</f>
        <v>0</v>
      </c>
      <c r="L56" s="64" t="n">
        <f aca="false">((F56-$J$6)/$J$6)</f>
        <v>-6.67302990620333E-006</v>
      </c>
      <c r="M56" s="72" t="n">
        <f aca="false">((G56-$I$6)/$I$6)</f>
        <v>0</v>
      </c>
      <c r="N56" s="64" t="n">
        <f aca="false">((H56-$J$6)/$J$6)</f>
        <v>-7.8860567363684E-006</v>
      </c>
      <c r="S56" s="72"/>
    </row>
    <row r="57" customFormat="false" ht="15" hidden="false" customHeight="false" outlineLevel="0" collapsed="false">
      <c r="D57" s="0" t="s">
        <v>93</v>
      </c>
      <c r="E57" s="0" t="n">
        <v>5575486492.11091</v>
      </c>
      <c r="F57" s="0" t="n">
        <v>59463358877669</v>
      </c>
      <c r="G57" s="0" t="n">
        <v>5575486492.11091</v>
      </c>
      <c r="H57" s="0" t="n">
        <v>59463295421352.7</v>
      </c>
      <c r="K57" s="72" t="n">
        <f aca="false">((E57-$I$6)/$I$6)</f>
        <v>0</v>
      </c>
      <c r="L57" s="64" t="n">
        <f aca="false">((F57-$J$6)/$J$6)</f>
        <v>-6.61257905670261E-006</v>
      </c>
      <c r="M57" s="72" t="n">
        <f aca="false">((G57-$I$6)/$I$6)</f>
        <v>0</v>
      </c>
      <c r="N57" s="64" t="n">
        <f aca="false">((H57-$J$6)/$J$6)</f>
        <v>-7.6797218800621E-006</v>
      </c>
      <c r="R57" s="66" t="s">
        <v>106</v>
      </c>
      <c r="S57" s="66"/>
    </row>
    <row r="58" customFormat="false" ht="15" hidden="false" customHeight="false" outlineLevel="0" collapsed="false">
      <c r="D58" s="0" t="s">
        <v>101</v>
      </c>
      <c r="E58" s="0" t="n">
        <v>5575486492.11091</v>
      </c>
      <c r="F58" s="0" t="n">
        <v>59463360091776.5</v>
      </c>
      <c r="G58" s="0" t="n">
        <v>5575486492.11091</v>
      </c>
      <c r="H58" s="0" t="n">
        <v>59463294692888.3</v>
      </c>
      <c r="K58" s="72" t="n">
        <f aca="false">((E58-$I$6)/$I$6)</f>
        <v>0</v>
      </c>
      <c r="L58" s="64" t="n">
        <f aca="false">((F58-$J$6)/$J$6)</f>
        <v>-6.59216145084147E-006</v>
      </c>
      <c r="M58" s="72" t="n">
        <f aca="false">((G58-$I$6)/$I$6)</f>
        <v>0</v>
      </c>
      <c r="N58" s="64" t="n">
        <f aca="false">((H58-$J$6)/$J$6)</f>
        <v>-7.69197244352623E-006</v>
      </c>
      <c r="R58" s="0" t="s">
        <v>43</v>
      </c>
      <c r="S58" s="72" t="n">
        <v>0.249990896203308</v>
      </c>
    </row>
    <row r="59" customFormat="false" ht="15" hidden="false" customHeight="false" outlineLevel="0" collapsed="false">
      <c r="D59" s="0" t="s">
        <v>23</v>
      </c>
      <c r="E59" s="0" t="n">
        <v>5674853743.52805</v>
      </c>
      <c r="F59" s="0" t="n">
        <v>59463364962696.2</v>
      </c>
      <c r="G59" s="0" t="n">
        <v>5498411263.9725</v>
      </c>
      <c r="H59" s="0" t="n">
        <v>59463283734718.3</v>
      </c>
      <c r="K59" s="72" t="n">
        <f aca="false">((E59-$I$6)/$I$6)</f>
        <v>0.0178221670086974</v>
      </c>
      <c r="L59" s="64" t="n">
        <f aca="false">((F59-$J$6)/$J$6)</f>
        <v>-6.51024735097972E-006</v>
      </c>
      <c r="M59" s="72" t="n">
        <f aca="false">((G59-$I$6)/$I$6)</f>
        <v>-0.0138239467080535</v>
      </c>
      <c r="N59" s="64" t="n">
        <f aca="false">((H59-$J$6)/$J$6)</f>
        <v>-7.87625563414981E-006</v>
      </c>
      <c r="R59" s="0" t="s">
        <v>62</v>
      </c>
      <c r="S59" s="72" t="n">
        <v>0.249980101245401</v>
      </c>
    </row>
    <row r="60" customFormat="false" ht="15" hidden="false" customHeight="false" outlineLevel="0" collapsed="false">
      <c r="D60" s="0" t="s">
        <v>13</v>
      </c>
      <c r="E60" s="0" t="n">
        <v>5674853743.52805</v>
      </c>
      <c r="F60" s="0" t="n">
        <v>59463364962696.2</v>
      </c>
      <c r="G60" s="0" t="n">
        <v>5498411263.9725</v>
      </c>
      <c r="H60" s="0" t="n">
        <v>59463283734718.3</v>
      </c>
      <c r="K60" s="72" t="n">
        <f aca="false">((E60-$I$6)/$I$6)</f>
        <v>0.0178221670086974</v>
      </c>
      <c r="L60" s="64" t="n">
        <f aca="false">((F60-$J$6)/$J$6)</f>
        <v>-6.51024735097972E-006</v>
      </c>
      <c r="M60" s="72" t="n">
        <f aca="false">((G60-$I$6)/$I$6)</f>
        <v>-0.0138239467080535</v>
      </c>
      <c r="N60" s="64" t="n">
        <f aca="false">((H60-$J$6)/$J$6)</f>
        <v>-7.87625563414981E-006</v>
      </c>
      <c r="R60" s="0" t="s">
        <v>47</v>
      </c>
      <c r="S60" s="72" t="n">
        <v>0.237557294776143</v>
      </c>
    </row>
    <row r="61" customFormat="false" ht="15" hidden="false" customHeight="false" outlineLevel="0" collapsed="false">
      <c r="D61" s="0" t="s">
        <v>104</v>
      </c>
      <c r="E61" s="0" t="n">
        <v>5575486492.11091</v>
      </c>
      <c r="F61" s="0" t="n">
        <v>59463487836110.3</v>
      </c>
      <c r="G61" s="0" t="n">
        <v>5575486492.11091</v>
      </c>
      <c r="H61" s="0" t="n">
        <v>59463218046288</v>
      </c>
      <c r="K61" s="72" t="n">
        <f aca="false">((E61-$I$6)/$I$6)</f>
        <v>0</v>
      </c>
      <c r="L61" s="64" t="n">
        <f aca="false">((F61-$J$6)/$J$6)</f>
        <v>-4.44388911156496E-006</v>
      </c>
      <c r="M61" s="72" t="n">
        <f aca="false">((G61-$I$6)/$I$6)</f>
        <v>0</v>
      </c>
      <c r="N61" s="64" t="n">
        <f aca="false">((H61-$J$6)/$J$6)</f>
        <v>-8.9809358470133E-006</v>
      </c>
      <c r="R61" s="0" t="s">
        <v>67</v>
      </c>
      <c r="S61" s="72" t="n">
        <v>0.237550015232821</v>
      </c>
    </row>
    <row r="62" customFormat="false" ht="15" hidden="false" customHeight="false" outlineLevel="0" collapsed="false">
      <c r="D62" s="0" t="s">
        <v>14</v>
      </c>
      <c r="E62" s="0" t="n">
        <v>4181614869.08318</v>
      </c>
      <c r="F62" s="0" t="n">
        <v>59463543005687.2</v>
      </c>
      <c r="G62" s="0" t="n">
        <v>6969358115.13864</v>
      </c>
      <c r="H62" s="0" t="n">
        <v>59463961167174.1</v>
      </c>
      <c r="K62" s="72" t="n">
        <f aca="false">((E62-$I$6)/$I$6)</f>
        <v>-0.25</v>
      </c>
      <c r="L62" s="64" t="n">
        <f aca="false">((F62-$J$6)/$J$6)</f>
        <v>-3.51610411595014E-006</v>
      </c>
      <c r="M62" s="72" t="n">
        <f aca="false">((G62-$I$6)/$I$6)</f>
        <v>0.25</v>
      </c>
      <c r="N62" s="64" t="n">
        <f aca="false">((H62-$J$6)/$J$6)</f>
        <v>3.51610411581875E-006</v>
      </c>
      <c r="R62" s="0" t="s">
        <v>41</v>
      </c>
      <c r="S62" s="72" t="n">
        <v>0.221814021621271</v>
      </c>
    </row>
    <row r="63" customFormat="false" ht="15" hidden="false" customHeight="false" outlineLevel="0" collapsed="false">
      <c r="D63" s="0" t="s">
        <v>199</v>
      </c>
      <c r="E63" s="0" t="n">
        <v>5575486492.11091</v>
      </c>
      <c r="F63" s="0" t="n">
        <v>59463560803535.2</v>
      </c>
      <c r="G63" s="0" t="n">
        <v>5575486492.11091</v>
      </c>
      <c r="H63" s="0" t="n">
        <v>59463943369326.2</v>
      </c>
      <c r="K63" s="72" t="n">
        <f aca="false">((E63-$I$6)/$I$6)</f>
        <v>0</v>
      </c>
      <c r="L63" s="64" t="n">
        <f aca="false">((F63-$J$6)/$J$6)</f>
        <v>-3.21679828084755E-006</v>
      </c>
      <c r="M63" s="72" t="n">
        <f aca="false">((G63-$I$6)/$I$6)</f>
        <v>0</v>
      </c>
      <c r="N63" s="64" t="n">
        <f aca="false">((H63-$J$6)/$J$6)</f>
        <v>3.21679828097893E-006</v>
      </c>
      <c r="R63" s="0" t="s">
        <v>28</v>
      </c>
      <c r="S63" s="72" t="n">
        <v>0.200005819778084</v>
      </c>
    </row>
    <row r="64" customFormat="false" ht="15" hidden="false" customHeight="false" outlineLevel="0" collapsed="false">
      <c r="D64" s="0" t="s">
        <v>32</v>
      </c>
      <c r="E64" s="0" t="n">
        <v>7433981989.48121</v>
      </c>
      <c r="F64" s="0" t="n">
        <v>59463597732085.6</v>
      </c>
      <c r="G64" s="0" t="n">
        <v>4460389193.68873</v>
      </c>
      <c r="H64" s="0" t="n">
        <v>59463152212586.9</v>
      </c>
      <c r="K64" s="72" t="n">
        <f aca="false">((E64-$I$6)/$I$6)</f>
        <v>0.333333333333333</v>
      </c>
      <c r="L64" s="64" t="n">
        <f aca="false">((F64-$J$6)/$J$6)</f>
        <v>-2.5957720401827E-006</v>
      </c>
      <c r="M64" s="72" t="n">
        <f aca="false">((G64-$I$6)/$I$6)</f>
        <v>-0.2</v>
      </c>
      <c r="N64" s="64" t="n">
        <f aca="false">((H64-$J$6)/$J$6)</f>
        <v>-1.00880590740487E-005</v>
      </c>
      <c r="R64" s="0" t="s">
        <v>30</v>
      </c>
      <c r="S64" s="72" t="n">
        <v>0.200005819778084</v>
      </c>
    </row>
    <row r="65" customFormat="false" ht="15" hidden="false" customHeight="false" outlineLevel="0" collapsed="false">
      <c r="D65" s="0" t="s">
        <v>66</v>
      </c>
      <c r="E65" s="0" t="n">
        <v>5575486492.11091</v>
      </c>
      <c r="F65" s="0" t="n">
        <v>59463722341282.4</v>
      </c>
      <c r="G65" s="0" t="n">
        <v>5575486492.11091</v>
      </c>
      <c r="H65" s="0" t="n">
        <v>59463781831579</v>
      </c>
      <c r="K65" s="72" t="n">
        <f aca="false">((E65-$I$6)/$I$6)</f>
        <v>0</v>
      </c>
      <c r="L65" s="64" t="n">
        <f aca="false">((F65-$J$6)/$J$6)</f>
        <v>-5.00223198404599E-007</v>
      </c>
      <c r="M65" s="72" t="n">
        <f aca="false">((G65-$I$6)/$I$6)</f>
        <v>0</v>
      </c>
      <c r="N65" s="64" t="n">
        <f aca="false">((H65-$J$6)/$J$6)</f>
        <v>5.00223198535982E-007</v>
      </c>
      <c r="R65" s="0" t="s">
        <v>61</v>
      </c>
      <c r="S65" s="72" t="n">
        <v>0.199997184174299</v>
      </c>
    </row>
    <row r="66" customFormat="false" ht="15" hidden="false" customHeight="false" outlineLevel="0" collapsed="false">
      <c r="D66" s="0" t="s">
        <v>60</v>
      </c>
      <c r="E66" s="0" t="n">
        <v>5575486492.11091</v>
      </c>
      <c r="F66" s="0" t="n">
        <v>59463723869807.9</v>
      </c>
      <c r="G66" s="0" t="n">
        <v>5575486492.11091</v>
      </c>
      <c r="H66" s="0" t="n">
        <v>59463780303053.5</v>
      </c>
      <c r="K66" s="72" t="n">
        <f aca="false">((E66-$I$6)/$I$6)</f>
        <v>0</v>
      </c>
      <c r="L66" s="64" t="n">
        <f aca="false">((F66-$J$6)/$J$6)</f>
        <v>-4.74518034789279E-007</v>
      </c>
      <c r="M66" s="72" t="n">
        <f aca="false">((G66-$I$6)/$I$6)</f>
        <v>0</v>
      </c>
      <c r="N66" s="64" t="n">
        <f aca="false">((H66-$J$6)/$J$6)</f>
        <v>4.74518034789279E-007</v>
      </c>
      <c r="R66" s="0" t="s">
        <v>48</v>
      </c>
      <c r="S66" s="72" t="n">
        <v>0.0281695945855391</v>
      </c>
    </row>
    <row r="67" customFormat="false" ht="15" hidden="false" customHeight="false" outlineLevel="0" collapsed="false">
      <c r="D67" s="0" t="s">
        <v>65</v>
      </c>
      <c r="E67" s="0" t="n">
        <v>5575486492.11091</v>
      </c>
      <c r="F67" s="0" t="n">
        <v>59463745404141.2</v>
      </c>
      <c r="G67" s="0" t="n">
        <v>5575486492.11091</v>
      </c>
      <c r="H67" s="0" t="n">
        <v>59463758768720.2</v>
      </c>
      <c r="K67" s="72" t="n">
        <f aca="false">((E67-$I$6)/$I$6)</f>
        <v>0</v>
      </c>
      <c r="L67" s="64" t="n">
        <f aca="false">((F67-$J$6)/$J$6)</f>
        <v>-1.12375846102215E-007</v>
      </c>
      <c r="M67" s="72" t="n">
        <f aca="false">((G67-$I$6)/$I$6)</f>
        <v>0</v>
      </c>
      <c r="N67" s="64" t="n">
        <f aca="false">((H67-$J$6)/$J$6)</f>
        <v>1.12375846102215E-007</v>
      </c>
      <c r="R67" s="0" t="s">
        <v>25</v>
      </c>
      <c r="S67" s="72" t="n">
        <v>0.0281634371999987</v>
      </c>
    </row>
    <row r="68" customFormat="false" ht="15" hidden="false" customHeight="false" outlineLevel="0" collapsed="false">
      <c r="D68" s="0" t="s">
        <v>200</v>
      </c>
      <c r="E68" s="0" t="n">
        <v>5575486492.11091</v>
      </c>
      <c r="F68" s="0" t="n">
        <v>59463752010933.5</v>
      </c>
      <c r="G68" s="0" t="n">
        <v>5575486492.11091</v>
      </c>
      <c r="H68" s="0" t="n">
        <v>59463752161927.9</v>
      </c>
      <c r="K68" s="72" t="n">
        <f aca="false">((E68-$I$6)/$I$6)</f>
        <v>0</v>
      </c>
      <c r="L68" s="64" t="n">
        <f aca="false">((F68-$J$6)/$J$6)</f>
        <v>-1.26963376596661E-009</v>
      </c>
      <c r="M68" s="72" t="n">
        <f aca="false">((G68-$I$6)/$I$6)</f>
        <v>0</v>
      </c>
      <c r="N68" s="64" t="n">
        <f aca="false">((H68-$J$6)/$J$6)</f>
        <v>1.26963363458405E-009</v>
      </c>
      <c r="R68" s="0" t="s">
        <v>27</v>
      </c>
      <c r="S68" s="72" t="n">
        <v>0.0281634371999987</v>
      </c>
    </row>
    <row r="69" customFormat="false" ht="15" hidden="false" customHeight="false" outlineLevel="0" collapsed="false">
      <c r="D69" s="0" t="s">
        <v>201</v>
      </c>
      <c r="E69" s="0" t="n">
        <v>5575486492.11091</v>
      </c>
      <c r="F69" s="0" t="n">
        <v>59463752010933.5</v>
      </c>
      <c r="G69" s="0" t="n">
        <v>5575486492.11091</v>
      </c>
      <c r="H69" s="0" t="n">
        <v>59463752161927.9</v>
      </c>
      <c r="K69" s="72" t="n">
        <f aca="false">((E69-$I$6)/$I$6)</f>
        <v>0</v>
      </c>
      <c r="L69" s="64" t="n">
        <f aca="false">((F69-$J$6)/$J$6)</f>
        <v>-1.26963376596661E-009</v>
      </c>
      <c r="M69" s="72" t="n">
        <f aca="false">((G69-$I$6)/$I$6)</f>
        <v>0</v>
      </c>
      <c r="N69" s="64" t="n">
        <f aca="false">((H69-$J$6)/$J$6)</f>
        <v>1.26963363458405E-009</v>
      </c>
      <c r="R69" s="0" t="s">
        <v>31</v>
      </c>
      <c r="S69" s="72" t="n">
        <v>0.0225520085920447</v>
      </c>
    </row>
    <row r="70" customFormat="false" ht="15" hidden="false" customHeight="false" outlineLevel="0" collapsed="false">
      <c r="D70" s="0" t="s">
        <v>202</v>
      </c>
      <c r="E70" s="0" t="n">
        <v>5575486492.11091</v>
      </c>
      <c r="F70" s="0" t="n">
        <v>59463752010933.5</v>
      </c>
      <c r="G70" s="0" t="n">
        <v>5575486492.11091</v>
      </c>
      <c r="H70" s="0" t="n">
        <v>59463752161927.9</v>
      </c>
      <c r="K70" s="72" t="n">
        <f aca="false">((E70-$I$6)/$I$6)</f>
        <v>0</v>
      </c>
      <c r="L70" s="64" t="n">
        <f aca="false">((F70-$J$6)/$J$6)</f>
        <v>-1.26963376596661E-009</v>
      </c>
      <c r="M70" s="72" t="n">
        <f aca="false">((G70-$I$6)/$I$6)</f>
        <v>0</v>
      </c>
      <c r="N70" s="64" t="n">
        <f aca="false">((H70-$J$6)/$J$6)</f>
        <v>1.26963363458405E-009</v>
      </c>
      <c r="R70" s="0" t="s">
        <v>33</v>
      </c>
      <c r="S70" s="72" t="n">
        <v>0.0225520085920447</v>
      </c>
    </row>
    <row r="71" customFormat="false" ht="15" hidden="false" customHeight="false" outlineLevel="0" collapsed="false">
      <c r="D71" s="0" t="s">
        <v>42</v>
      </c>
      <c r="E71" s="0" t="n">
        <v>5575486492.11091</v>
      </c>
      <c r="F71" s="0" t="n">
        <v>59463752037112.8</v>
      </c>
      <c r="G71" s="0" t="n">
        <v>5575486492.11091</v>
      </c>
      <c r="H71" s="0" t="n">
        <v>59463752135748.6</v>
      </c>
      <c r="K71" s="72" t="n">
        <f aca="false">((E71-$I$6)/$I$6)</f>
        <v>0</v>
      </c>
      <c r="L71" s="64" t="n">
        <f aca="false">((F71-$J$6)/$J$6)</f>
        <v>-8.29377112435091E-010</v>
      </c>
      <c r="M71" s="72" t="n">
        <f aca="false">((G71-$I$6)/$I$6)</f>
        <v>0</v>
      </c>
      <c r="N71" s="64" t="n">
        <f aca="false">((H71-$J$6)/$J$6)</f>
        <v>8.29377112435091E-010</v>
      </c>
    </row>
    <row r="72" customFormat="false" ht="15" hidden="false" customHeight="false" outlineLevel="0" collapsed="false">
      <c r="D72" s="0" t="s">
        <v>203</v>
      </c>
      <c r="E72" s="0" t="n">
        <v>5575486492.11091</v>
      </c>
      <c r="F72" s="0" t="n">
        <v>59463752048682.1</v>
      </c>
      <c r="G72" s="0" t="n">
        <v>5575486492.11091</v>
      </c>
      <c r="H72" s="0" t="n">
        <v>59463752124179.3</v>
      </c>
      <c r="K72" s="72" t="n">
        <f aca="false">((E72-$I$6)/$I$6)</f>
        <v>0</v>
      </c>
      <c r="L72" s="64" t="n">
        <f aca="false">((F72-$J$6)/$J$6)</f>
        <v>-6.34816882983306E-010</v>
      </c>
      <c r="M72" s="72" t="n">
        <f aca="false">((G72-$I$6)/$I$6)</f>
        <v>0</v>
      </c>
      <c r="N72" s="64" t="n">
        <f aca="false">((H72-$J$6)/$J$6)</f>
        <v>6.34816882983306E-010</v>
      </c>
    </row>
    <row r="73" customFormat="false" ht="15" hidden="false" customHeight="false" outlineLevel="0" collapsed="false">
      <c r="D73" s="0" t="s">
        <v>204</v>
      </c>
      <c r="E73" s="0" t="n">
        <v>5575486492.11091</v>
      </c>
      <c r="F73" s="0" t="n">
        <v>59463752056231.8</v>
      </c>
      <c r="G73" s="0" t="n">
        <v>5575486492.11091</v>
      </c>
      <c r="H73" s="0" t="n">
        <v>59463752116629.6</v>
      </c>
      <c r="K73" s="72" t="n">
        <f aca="false">((E73-$I$6)/$I$6)</f>
        <v>0</v>
      </c>
      <c r="L73" s="64" t="n">
        <f aca="false">((F73-$J$6)/$J$6)</f>
        <v>-5.07853506386645E-010</v>
      </c>
      <c r="M73" s="72" t="n">
        <f aca="false">((G73-$I$6)/$I$6)</f>
        <v>0</v>
      </c>
      <c r="N73" s="64" t="n">
        <f aca="false">((H73-$J$6)/$J$6)</f>
        <v>5.07853506386645E-010</v>
      </c>
    </row>
    <row r="74" customFormat="false" ht="15" hidden="false" customHeight="false" outlineLevel="0" collapsed="false">
      <c r="D74" s="0" t="s">
        <v>205</v>
      </c>
      <c r="E74" s="0" t="n">
        <v>5575486492.11091</v>
      </c>
      <c r="F74" s="0" t="n">
        <v>59463752071331.3</v>
      </c>
      <c r="G74" s="0" t="n">
        <v>5575486492.11091</v>
      </c>
      <c r="H74" s="0" t="n">
        <v>59463752101530.1</v>
      </c>
      <c r="K74" s="72" t="n">
        <f aca="false">((E74-$I$6)/$I$6)</f>
        <v>0</v>
      </c>
      <c r="L74" s="64" t="n">
        <f aca="false">((F74-$J$6)/$J$6)</f>
        <v>-2.53926753193322E-010</v>
      </c>
      <c r="M74" s="72" t="n">
        <f aca="false">((G74-$I$6)/$I$6)</f>
        <v>0</v>
      </c>
      <c r="N74" s="64" t="n">
        <f aca="false">((H74-$J$6)/$J$6)</f>
        <v>2.53926753193322E-010</v>
      </c>
    </row>
    <row r="75" customFormat="false" ht="15" hidden="false" customHeight="false" outlineLevel="0" collapsed="false">
      <c r="D75" s="0" t="s">
        <v>130</v>
      </c>
      <c r="E75" s="0" t="n">
        <v>5575486492.11091</v>
      </c>
      <c r="F75" s="0" t="n">
        <v>59463752071331.3</v>
      </c>
      <c r="G75" s="0" t="n">
        <v>5575486492.11091</v>
      </c>
      <c r="H75" s="0" t="n">
        <v>59463752101530.1</v>
      </c>
      <c r="K75" s="72" t="n">
        <f aca="false">((E75-$I$6)/$I$6)</f>
        <v>0</v>
      </c>
      <c r="L75" s="64" t="n">
        <f aca="false">((F75-$J$6)/$J$6)</f>
        <v>-2.53926753193322E-010</v>
      </c>
      <c r="M75" s="72" t="n">
        <f aca="false">((G75-$I$6)/$I$6)</f>
        <v>0</v>
      </c>
      <c r="N75" s="64" t="n">
        <f aca="false">((H75-$J$6)/$J$6)</f>
        <v>2.53926753193322E-010</v>
      </c>
    </row>
    <row r="76" customFormat="false" ht="15" hidden="false" customHeight="false" outlineLevel="0" collapsed="false">
      <c r="D76" s="0" t="s">
        <v>33</v>
      </c>
      <c r="E76" s="0" t="n">
        <v>7301492320.92503</v>
      </c>
      <c r="F76" s="0" t="n">
        <v>61697629165857.3</v>
      </c>
      <c r="G76" s="3" t="n">
        <v>4522049376.19946</v>
      </c>
      <c r="H76" s="3" t="n">
        <v>58123173345968.5</v>
      </c>
      <c r="K76" s="72" t="n">
        <f aca="false">((E76-$I$6)/$I$6)</f>
        <v>0.309570443988403</v>
      </c>
      <c r="L76" s="64" t="n">
        <f aca="false">((F76-$J$6)/$J$6)</f>
        <v>0.0375670387596748</v>
      </c>
      <c r="M76" s="72" t="n">
        <f aca="false">((G76-$I$6)/$I$6)</f>
        <v>-0.188940842633557</v>
      </c>
      <c r="N76" s="64" t="n">
        <f aca="false">((H76-$J$6)/$J$6)</f>
        <v>-0.0225444694191797</v>
      </c>
    </row>
    <row r="77" customFormat="false" ht="15" hidden="false" customHeight="false" outlineLevel="0" collapsed="false">
      <c r="D77" s="0" t="s">
        <v>29</v>
      </c>
      <c r="E77" s="0" t="n">
        <v>6143960159.17331</v>
      </c>
      <c r="F77" s="0" t="n">
        <v>61698022328029.7</v>
      </c>
      <c r="G77" s="0" t="n">
        <v>5169890062.00207</v>
      </c>
      <c r="H77" s="0" t="n">
        <v>58123173345968.5</v>
      </c>
      <c r="K77" s="72" t="n">
        <f aca="false">((E77-$I$6)/$I$6)</f>
        <v>0.10195947346779</v>
      </c>
      <c r="L77" s="64" t="n">
        <f aca="false">((F77-$J$6)/$J$6)</f>
        <v>0.0375736505552409</v>
      </c>
      <c r="M77" s="72" t="n">
        <f aca="false">((G77-$I$6)/$I$6)</f>
        <v>-0.0727463748110136</v>
      </c>
      <c r="N77" s="64" t="n">
        <f aca="false">((H77-$J$6)/$J$6)</f>
        <v>-0.0225444694191797</v>
      </c>
    </row>
    <row r="78" customFormat="false" ht="15" hidden="false" customHeight="false" outlineLevel="0" collapsed="false">
      <c r="D78" s="0" t="s">
        <v>31</v>
      </c>
      <c r="E78" s="0" t="n">
        <v>6143960159.17331</v>
      </c>
      <c r="F78" s="0" t="n">
        <v>61698022328029.7</v>
      </c>
      <c r="G78" s="0" t="n">
        <v>5169890062.00207</v>
      </c>
      <c r="H78" s="0" t="n">
        <v>58123173345968.5</v>
      </c>
      <c r="K78" s="72" t="n">
        <f aca="false">((E78-$I$6)/$I$6)</f>
        <v>0.10195947346779</v>
      </c>
      <c r="L78" s="64" t="n">
        <f aca="false">((F78-$J$6)/$J$6)</f>
        <v>0.0375736505552409</v>
      </c>
      <c r="M78" s="72" t="n">
        <f aca="false">((G78-$I$6)/$I$6)</f>
        <v>-0.0727463748110136</v>
      </c>
      <c r="N78" s="64" t="n">
        <f aca="false">((H78-$J$6)/$J$6)</f>
        <v>-0.0225444694191797</v>
      </c>
    </row>
    <row r="79" customFormat="false" ht="15" hidden="false" customHeight="false" outlineLevel="0" collapsed="false">
      <c r="D79" s="0" t="s">
        <v>27</v>
      </c>
      <c r="E79" s="0" t="n">
        <v>5575486492.11091</v>
      </c>
      <c r="F79" s="0" t="n">
        <v>62853162404448.6</v>
      </c>
      <c r="G79" s="0" t="n">
        <v>5575486492.11091</v>
      </c>
      <c r="H79" s="0" t="n">
        <v>61138455733993.2</v>
      </c>
      <c r="K79" s="72" t="n">
        <f aca="false">((E79-$I$6)/$I$6)</f>
        <v>0</v>
      </c>
      <c r="L79" s="64" t="n">
        <f aca="false">((F79-$J$6)/$J$6)</f>
        <v>0.0569996039451294</v>
      </c>
      <c r="M79" s="72" t="n">
        <f aca="false">((G79-$I$6)/$I$6)</f>
        <v>0</v>
      </c>
      <c r="N79" s="64" t="n">
        <f aca="false">((H79-$J$6)/$J$6)</f>
        <v>0.0281634371999987</v>
      </c>
    </row>
    <row r="80" customFormat="false" ht="15" hidden="false" customHeight="false" outlineLevel="0" collapsed="false">
      <c r="D80" s="0" t="s">
        <v>25</v>
      </c>
      <c r="E80" s="0" t="n">
        <v>5575486492.11091</v>
      </c>
      <c r="F80" s="0" t="n">
        <v>62853162404448.6</v>
      </c>
      <c r="G80" s="0" t="n">
        <v>5575486492.11091</v>
      </c>
      <c r="H80" s="0" t="n">
        <v>61138455733993.2</v>
      </c>
      <c r="K80" s="72" t="n">
        <f aca="false">((E80-$I$6)/$I$6)</f>
        <v>0</v>
      </c>
      <c r="L80" s="64" t="n">
        <f aca="false">((F80-$J$6)/$J$6)</f>
        <v>0.0569996039451294</v>
      </c>
      <c r="M80" s="72" t="n">
        <f aca="false">((G80-$I$6)/$I$6)</f>
        <v>0</v>
      </c>
      <c r="N80" s="64" t="n">
        <f aca="false">((H80-$J$6)/$J$6)</f>
        <v>0.0281634371999987</v>
      </c>
    </row>
    <row r="81" customFormat="false" ht="15" hidden="false" customHeight="false" outlineLevel="0" collapsed="false">
      <c r="D81" s="0" t="s">
        <v>61</v>
      </c>
      <c r="E81" s="0" t="n">
        <v>5575486492.11091</v>
      </c>
      <c r="F81" s="0" t="n">
        <v>79283569398747</v>
      </c>
      <c r="G81" s="0" t="n">
        <v>5575486492.11091</v>
      </c>
      <c r="H81" s="0" t="n">
        <v>47571169108705.9</v>
      </c>
      <c r="K81" s="72" t="n">
        <f aca="false">((E81-$I$6)/$I$6)</f>
        <v>0</v>
      </c>
      <c r="L81" s="64" t="n">
        <f aca="false">((F81-$J$6)/$J$6)</f>
        <v>0.333309228174975</v>
      </c>
      <c r="M81" s="72" t="n">
        <f aca="false">((G81-$I$6)/$I$6)</f>
        <v>0</v>
      </c>
      <c r="N81" s="64" t="n">
        <f aca="false">((H81-$J$6)/$J$6)</f>
        <v>-0.199997184174299</v>
      </c>
    </row>
    <row r="82" customFormat="false" ht="15" hidden="false" customHeight="false" outlineLevel="0" collapsed="false">
      <c r="D82" s="0" t="s">
        <v>30</v>
      </c>
      <c r="E82" s="0" t="n">
        <v>7433981989.48121</v>
      </c>
      <c r="F82" s="0" t="n">
        <v>79284425241084.6</v>
      </c>
      <c r="G82" s="0" t="n">
        <v>4460389193.68873</v>
      </c>
      <c r="H82" s="0" t="n">
        <v>47570655603303.4</v>
      </c>
      <c r="K82" s="72" t="n">
        <f aca="false">((E82-$I$6)/$I$6)</f>
        <v>0.333333333333333</v>
      </c>
      <c r="L82" s="64" t="n">
        <f aca="false">((F82-$J$6)/$J$6)</f>
        <v>0.33332362084795</v>
      </c>
      <c r="M82" s="72" t="n">
        <f aca="false">((G82-$I$6)/$I$6)</f>
        <v>-0.2</v>
      </c>
      <c r="N82" s="64" t="n">
        <f aca="false">((H82-$J$6)/$J$6)</f>
        <v>-0.200005819778084</v>
      </c>
    </row>
    <row r="83" customFormat="false" ht="15" hidden="false" customHeight="false" outlineLevel="0" collapsed="false">
      <c r="D83" s="0" t="s">
        <v>28</v>
      </c>
      <c r="E83" s="0" t="n">
        <v>7433981989.48121</v>
      </c>
      <c r="F83" s="0" t="n">
        <v>79284425241084.6</v>
      </c>
      <c r="G83" s="0" t="n">
        <v>4460389193.68873</v>
      </c>
      <c r="H83" s="0" t="n">
        <v>47570655603303.4</v>
      </c>
      <c r="K83" s="72" t="n">
        <f aca="false">((E83-$I$6)/$I$6)</f>
        <v>0.333333333333333</v>
      </c>
      <c r="L83" s="64" t="n">
        <f aca="false">((F83-$J$6)/$J$6)</f>
        <v>0.33332362084795</v>
      </c>
      <c r="M83" s="72" t="n">
        <f aca="false">((G83-$I$6)/$I$6)</f>
        <v>-0.2</v>
      </c>
      <c r="N83" s="64" t="n">
        <f aca="false">((H83-$J$6)/$J$6)</f>
        <v>-0.200005819778084</v>
      </c>
    </row>
    <row r="84" customFormat="false" ht="15" hidden="false" customHeight="false" outlineLevel="0" collapsed="false">
      <c r="K84" s="72"/>
      <c r="L84" s="64"/>
      <c r="M84" s="72"/>
      <c r="N84" s="64"/>
    </row>
    <row r="85" customFormat="false" ht="15" hidden="false" customHeight="false" outlineLevel="0" collapsed="false">
      <c r="K85" s="72"/>
      <c r="L85" s="64"/>
      <c r="M85" s="72"/>
      <c r="N85" s="64"/>
    </row>
    <row r="86" customFormat="false" ht="15" hidden="false" customHeight="false" outlineLevel="0" collapsed="false">
      <c r="K86" s="72"/>
      <c r="L86" s="64"/>
      <c r="M86" s="72"/>
      <c r="N86" s="64"/>
    </row>
    <row r="87" customFormat="false" ht="15" hidden="false" customHeight="false" outlineLevel="0" collapsed="false">
      <c r="K87" s="72"/>
      <c r="L87" s="64"/>
      <c r="M87" s="72"/>
      <c r="N87" s="64"/>
    </row>
    <row r="88" customFormat="false" ht="15" hidden="false" customHeight="false" outlineLevel="0" collapsed="false">
      <c r="K88" s="72"/>
      <c r="L88" s="64"/>
      <c r="M88" s="72"/>
      <c r="N88" s="64"/>
    </row>
    <row r="89" customFormat="false" ht="15" hidden="false" customHeight="false" outlineLevel="0" collapsed="false">
      <c r="K89" s="72"/>
      <c r="L89" s="64"/>
      <c r="M89" s="72"/>
      <c r="N89" s="64"/>
    </row>
    <row r="90" customFormat="false" ht="15" hidden="false" customHeight="false" outlineLevel="0" collapsed="false">
      <c r="K90" s="72"/>
      <c r="L90" s="64"/>
      <c r="M90" s="72"/>
      <c r="N90" s="64"/>
    </row>
    <row r="91" customFormat="false" ht="15" hidden="false" customHeight="false" outlineLevel="0" collapsed="false">
      <c r="K91" s="72"/>
      <c r="L91" s="64"/>
      <c r="M91" s="72"/>
      <c r="N91" s="64"/>
    </row>
    <row r="92" customFormat="false" ht="15" hidden="false" customHeight="false" outlineLevel="0" collapsed="false">
      <c r="K92" s="72"/>
      <c r="L92" s="64"/>
      <c r="M92" s="72"/>
      <c r="N92" s="64"/>
    </row>
    <row r="93" customFormat="false" ht="15" hidden="false" customHeight="false" outlineLevel="0" collapsed="false">
      <c r="K93" s="72"/>
      <c r="L93" s="64"/>
      <c r="M93" s="72"/>
      <c r="N93" s="64"/>
    </row>
    <row r="94" customFormat="false" ht="15" hidden="false" customHeight="false" outlineLevel="0" collapsed="false">
      <c r="K94" s="72"/>
      <c r="L94" s="64"/>
      <c r="M94" s="72"/>
      <c r="N94" s="64"/>
    </row>
    <row r="95" customFormat="false" ht="15" hidden="false" customHeight="false" outlineLevel="0" collapsed="false">
      <c r="K95" s="72"/>
      <c r="L95" s="64"/>
      <c r="M95" s="72"/>
      <c r="N95" s="64"/>
    </row>
    <row r="96" customFormat="false" ht="15" hidden="false" customHeight="false" outlineLevel="0" collapsed="false">
      <c r="D96" s="0" t="s">
        <v>97</v>
      </c>
      <c r="K96" s="72"/>
      <c r="L96" s="64"/>
      <c r="M96" s="72"/>
      <c r="N96" s="64"/>
    </row>
    <row r="97" customFormat="false" ht="15" hidden="false" customHeight="false" outlineLevel="0" collapsed="false">
      <c r="K97" s="72"/>
      <c r="L97" s="64"/>
      <c r="M97" s="72"/>
      <c r="N97" s="64"/>
    </row>
    <row r="98" customFormat="false" ht="15" hidden="false" customHeight="false" outlineLevel="0" collapsed="false">
      <c r="K98" s="72"/>
      <c r="L98" s="64"/>
      <c r="M98" s="72"/>
      <c r="N98" s="64"/>
    </row>
    <row r="99" customFormat="false" ht="15" hidden="false" customHeight="false" outlineLevel="0" collapsed="false">
      <c r="K99" s="72"/>
      <c r="L99" s="64"/>
      <c r="M99" s="72"/>
      <c r="N99" s="64"/>
    </row>
    <row r="100" customFormat="false" ht="15" hidden="false" customHeight="false" outlineLevel="0" collapsed="false">
      <c r="K100" s="72"/>
      <c r="L100" s="64"/>
      <c r="M100" s="72"/>
      <c r="N100" s="64"/>
    </row>
    <row r="101" customFormat="false" ht="15" hidden="false" customHeight="false" outlineLevel="0" collapsed="false">
      <c r="K101" s="72"/>
      <c r="L101" s="64"/>
      <c r="M101" s="72"/>
      <c r="N101" s="64"/>
    </row>
    <row r="102" customFormat="false" ht="15" hidden="false" customHeight="false" outlineLevel="0" collapsed="false">
      <c r="K102" s="72"/>
      <c r="L102" s="64"/>
      <c r="M102" s="72"/>
      <c r="N102" s="64"/>
    </row>
    <row r="103" customFormat="false" ht="15" hidden="false" customHeight="false" outlineLevel="0" collapsed="false">
      <c r="K103" s="72"/>
      <c r="L103" s="64"/>
      <c r="M103" s="72"/>
      <c r="N103" s="64"/>
    </row>
    <row r="104" customFormat="false" ht="15" hidden="false" customHeight="false" outlineLevel="0" collapsed="false">
      <c r="K104" s="72"/>
      <c r="L104" s="64"/>
      <c r="M104" s="72"/>
      <c r="N104" s="64"/>
    </row>
    <row r="105" customFormat="false" ht="15" hidden="false" customHeight="false" outlineLevel="0" collapsed="false">
      <c r="K105" s="72"/>
      <c r="L105" s="64"/>
      <c r="M105" s="72"/>
      <c r="N105" s="64"/>
    </row>
    <row r="106" customFormat="false" ht="15" hidden="false" customHeight="false" outlineLevel="0" collapsed="false">
      <c r="K106" s="72"/>
      <c r="L106" s="64"/>
      <c r="M106" s="72"/>
      <c r="N106" s="64"/>
    </row>
    <row r="107" customFormat="false" ht="15" hidden="false" customHeight="false" outlineLevel="0" collapsed="false">
      <c r="K107" s="72"/>
      <c r="L107" s="64"/>
      <c r="M107" s="72"/>
      <c r="N107" s="64"/>
    </row>
    <row r="108" customFormat="false" ht="15" hidden="false" customHeight="false" outlineLevel="0" collapsed="false">
      <c r="K108" s="72"/>
      <c r="L108" s="64"/>
      <c r="M108" s="72"/>
      <c r="N108" s="64"/>
    </row>
    <row r="109" customFormat="false" ht="15" hidden="false" customHeight="false" outlineLevel="0" collapsed="false">
      <c r="K109" s="72"/>
      <c r="L109" s="64"/>
      <c r="M109" s="72"/>
      <c r="N109" s="64"/>
    </row>
    <row r="110" customFormat="false" ht="15" hidden="false" customHeight="false" outlineLevel="0" collapsed="false">
      <c r="K110" s="72"/>
      <c r="L110" s="64"/>
      <c r="M110" s="72"/>
      <c r="N110" s="64"/>
    </row>
    <row r="111" customFormat="false" ht="15" hidden="false" customHeight="false" outlineLevel="0" collapsed="false">
      <c r="K111" s="72"/>
      <c r="L111" s="64"/>
      <c r="M111" s="72"/>
      <c r="N111" s="64"/>
    </row>
    <row r="112" customFormat="false" ht="15" hidden="false" customHeight="false" outlineLevel="0" collapsed="false">
      <c r="K112" s="72"/>
      <c r="L112" s="64"/>
      <c r="M112" s="72"/>
      <c r="N112" s="64"/>
    </row>
    <row r="113" customFormat="false" ht="15" hidden="false" customHeight="false" outlineLevel="0" collapsed="false">
      <c r="K113" s="72"/>
      <c r="L113" s="64"/>
      <c r="M113" s="72"/>
      <c r="N113" s="64"/>
    </row>
    <row r="114" customFormat="false" ht="15" hidden="false" customHeight="false" outlineLevel="0" collapsed="false">
      <c r="K114" s="72"/>
      <c r="L114" s="64"/>
      <c r="M114" s="72"/>
      <c r="N114" s="64"/>
    </row>
    <row r="115" customFormat="false" ht="15" hidden="false" customHeight="false" outlineLevel="0" collapsed="false">
      <c r="K115" s="72"/>
      <c r="L115" s="64"/>
      <c r="M115" s="72"/>
      <c r="N115" s="64"/>
    </row>
    <row r="116" customFormat="false" ht="15" hidden="false" customHeight="false" outlineLevel="0" collapsed="false">
      <c r="K116" s="72"/>
      <c r="L116" s="64"/>
      <c r="M116" s="72"/>
      <c r="N116" s="64"/>
    </row>
    <row r="117" customFormat="false" ht="15" hidden="false" customHeight="false" outlineLevel="0" collapsed="false">
      <c r="K117" s="72"/>
      <c r="L117" s="64"/>
      <c r="M117" s="72"/>
      <c r="N117" s="64"/>
    </row>
    <row r="118" customFormat="false" ht="15" hidden="false" customHeight="false" outlineLevel="0" collapsed="false">
      <c r="K118" s="72"/>
      <c r="L118" s="64"/>
      <c r="M118" s="72"/>
      <c r="N118" s="64"/>
    </row>
    <row r="119" customFormat="false" ht="15" hidden="false" customHeight="false" outlineLevel="0" collapsed="false">
      <c r="K119" s="72"/>
      <c r="L119" s="64"/>
      <c r="M119" s="72"/>
      <c r="N119" s="64"/>
    </row>
    <row r="120" customFormat="false" ht="15" hidden="false" customHeight="false" outlineLevel="0" collapsed="false">
      <c r="K120" s="72"/>
      <c r="L120" s="64"/>
      <c r="M120" s="72"/>
      <c r="N120" s="64"/>
    </row>
    <row r="121" customFormat="false" ht="15" hidden="false" customHeight="false" outlineLevel="0" collapsed="false">
      <c r="K121" s="72"/>
      <c r="L121" s="64"/>
      <c r="M121" s="72"/>
      <c r="N121" s="64"/>
    </row>
    <row r="122" customFormat="false" ht="15" hidden="false" customHeight="false" outlineLevel="0" collapsed="false">
      <c r="K122" s="72"/>
      <c r="L122" s="64"/>
      <c r="M122" s="72"/>
      <c r="N122" s="64"/>
    </row>
    <row r="123" customFormat="false" ht="15" hidden="false" customHeight="false" outlineLevel="0" collapsed="false">
      <c r="K123" s="72"/>
      <c r="L123" s="64"/>
      <c r="M123" s="72"/>
      <c r="N123" s="64"/>
    </row>
    <row r="124" customFormat="false" ht="15" hidden="false" customHeight="false" outlineLevel="0" collapsed="false">
      <c r="K124" s="72"/>
      <c r="L124" s="64"/>
      <c r="M124" s="72"/>
      <c r="N124" s="64"/>
    </row>
    <row r="125" customFormat="false" ht="15" hidden="false" customHeight="false" outlineLevel="0" collapsed="false">
      <c r="K125" s="72"/>
      <c r="L125" s="64"/>
      <c r="M125" s="72"/>
      <c r="N125" s="64"/>
    </row>
    <row r="126" customFormat="false" ht="15" hidden="false" customHeight="false" outlineLevel="0" collapsed="false">
      <c r="K126" s="72"/>
      <c r="L126" s="64"/>
      <c r="M126" s="72"/>
      <c r="N126" s="64"/>
    </row>
    <row r="127" customFormat="false" ht="15" hidden="false" customHeight="false" outlineLevel="0" collapsed="false">
      <c r="K127" s="72"/>
      <c r="L127" s="64"/>
      <c r="M127" s="72"/>
      <c r="N127" s="64"/>
    </row>
    <row r="128" customFormat="false" ht="15" hidden="false" customHeight="false" outlineLevel="0" collapsed="false">
      <c r="K128" s="72"/>
      <c r="L128" s="64"/>
      <c r="M128" s="72"/>
      <c r="N128" s="64"/>
    </row>
    <row r="129" customFormat="false" ht="15" hidden="false" customHeight="false" outlineLevel="0" collapsed="false">
      <c r="K129" s="72"/>
      <c r="L129" s="64"/>
      <c r="M129" s="72"/>
      <c r="N129" s="64"/>
    </row>
    <row r="130" customFormat="false" ht="15" hidden="false" customHeight="false" outlineLevel="0" collapsed="false">
      <c r="K130" s="72"/>
      <c r="L130" s="64"/>
      <c r="M130" s="72"/>
      <c r="N130" s="64"/>
    </row>
    <row r="131" customFormat="false" ht="15" hidden="false" customHeight="false" outlineLevel="0" collapsed="false">
      <c r="K131" s="72"/>
      <c r="L131" s="64"/>
      <c r="M131" s="72"/>
      <c r="N131" s="64"/>
    </row>
    <row r="132" customFormat="false" ht="15" hidden="false" customHeight="false" outlineLevel="0" collapsed="false">
      <c r="K132" s="72"/>
      <c r="L132" s="64"/>
      <c r="M132" s="72"/>
      <c r="N132" s="64"/>
    </row>
    <row r="133" customFormat="false" ht="15" hidden="false" customHeight="false" outlineLevel="0" collapsed="false">
      <c r="K133" s="72"/>
      <c r="L133" s="64"/>
      <c r="M133" s="72"/>
      <c r="N133" s="64"/>
    </row>
    <row r="134" customFormat="false" ht="15" hidden="false" customHeight="false" outlineLevel="0" collapsed="false">
      <c r="K134" s="72"/>
      <c r="L134" s="64"/>
      <c r="M134" s="72"/>
      <c r="N134" s="64"/>
    </row>
    <row r="135" customFormat="false" ht="15" hidden="false" customHeight="false" outlineLevel="0" collapsed="false">
      <c r="D135" s="0" t="s">
        <v>83</v>
      </c>
      <c r="E135" s="0" t="n">
        <v>5575486492.11091</v>
      </c>
      <c r="F135" s="0" t="n">
        <v>59463729893387.6</v>
      </c>
      <c r="G135" s="0" t="n">
        <v>5575486492.11091</v>
      </c>
      <c r="H135" s="0" t="n">
        <v>59463774279473.8</v>
      </c>
      <c r="K135" s="72" t="n">
        <f aca="false">ABS((E135-$I$6)/$I$6)</f>
        <v>0</v>
      </c>
      <c r="L135" s="64" t="n">
        <f aca="false">ABS((F135-$J$6)/$J$6)</f>
        <v>3.73219690085186E-007</v>
      </c>
      <c r="M135" s="72" t="n">
        <f aca="false">ABS((G135-$I$6)/$I$6)</f>
        <v>0</v>
      </c>
      <c r="N135" s="64" t="n">
        <f aca="false">ABS((H135-$J$6)/$J$6)</f>
        <v>3.73219690085186E-007</v>
      </c>
    </row>
    <row r="136" customFormat="false" ht="15" hidden="false" customHeight="false" outlineLevel="0" collapsed="false">
      <c r="D136" s="0" t="s">
        <v>84</v>
      </c>
      <c r="E136" s="0" t="n">
        <v>5575486492.11091</v>
      </c>
      <c r="F136" s="0" t="n">
        <v>59463734120633.9</v>
      </c>
      <c r="G136" s="0" t="n">
        <v>5575486492.11091</v>
      </c>
      <c r="H136" s="0" t="n">
        <v>59463770052227.5</v>
      </c>
      <c r="K136" s="72" t="n">
        <f aca="false">ABS((E136-$I$6)/$I$6)</f>
        <v>0</v>
      </c>
      <c r="L136" s="64" t="n">
        <f aca="false">ABS((F136-$J$6)/$J$6)</f>
        <v>3.02130225257005E-007</v>
      </c>
      <c r="M136" s="72" t="n">
        <f aca="false">ABS((G136-$I$6)/$I$6)</f>
        <v>0</v>
      </c>
      <c r="N136" s="64" t="n">
        <f aca="false">ABS((H136-$J$6)/$J$6)</f>
        <v>3.02130225257005E-007</v>
      </c>
    </row>
    <row r="137" customFormat="false" ht="15" hidden="false" customHeight="false" outlineLevel="0" collapsed="false">
      <c r="D137" s="0" t="s">
        <v>86</v>
      </c>
      <c r="E137" s="0" t="n">
        <v>5575486492.11091</v>
      </c>
      <c r="F137" s="0" t="n">
        <v>59463732007010.7</v>
      </c>
      <c r="G137" s="0" t="n">
        <v>5575486492.11091</v>
      </c>
      <c r="H137" s="0" t="n">
        <v>59463772165850.7</v>
      </c>
      <c r="K137" s="72" t="n">
        <f aca="false">ABS((E137-$I$6)/$I$6)</f>
        <v>0</v>
      </c>
      <c r="L137" s="64" t="n">
        <f aca="false">ABS((F137-$J$6)/$J$6)</f>
        <v>3.37674957671095E-007</v>
      </c>
      <c r="M137" s="72" t="n">
        <f aca="false">ABS((G137-$I$6)/$I$6)</f>
        <v>0</v>
      </c>
      <c r="N137" s="64" t="n">
        <f aca="false">ABS((H137-$J$6)/$J$6)</f>
        <v>3.37674957671095E-007</v>
      </c>
    </row>
  </sheetData>
  <mergeCells count="4">
    <mergeCell ref="R5:S5"/>
    <mergeCell ref="R23:S23"/>
    <mergeCell ref="R39:S39"/>
    <mergeCell ref="R57:S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206</v>
      </c>
    </row>
    <row r="2" customFormat="false" ht="409.5" hidden="false" customHeight="false" outlineLevel="0" collapsed="false">
      <c r="B2" s="0" t="s">
        <v>207</v>
      </c>
      <c r="C2" s="4" t="s">
        <v>208</v>
      </c>
    </row>
    <row r="3" customFormat="false" ht="15" hidden="false" customHeight="false" outlineLevel="0" collapsed="false">
      <c r="B3" s="0" t="s">
        <v>209</v>
      </c>
      <c r="C3" s="0" t="s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E31"/>
  <sheetViews>
    <sheetView showFormulas="false" showGridLines="true" showRowColHeaders="true" showZeros="true" rightToLeft="false" tabSelected="false" showOutlineSymbols="true" defaultGridColor="true" view="normal" topLeftCell="C13" colorId="64" zoomScale="100" zoomScaleNormal="100" zoomScalePageLayoutView="100" workbookViewId="0">
      <selection pane="topLeft" activeCell="G21" activeCellId="0" sqref="G2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50"/>
    <col collapsed="false" customWidth="true" hidden="false" outlineLevel="0" max="4" min="4" style="0" width="23"/>
    <col collapsed="false" customWidth="true" hidden="false" outlineLevel="0" max="5" min="5" style="0" width="24.15"/>
  </cols>
  <sheetData>
    <row r="2" customFormat="false" ht="45" hidden="false" customHeight="true" outlineLevel="0" collapsed="false">
      <c r="C2" s="0" t="s">
        <v>211</v>
      </c>
      <c r="D2" s="4" t="s">
        <v>212</v>
      </c>
      <c r="E2" s="4" t="s">
        <v>213</v>
      </c>
    </row>
    <row r="3" customFormat="false" ht="15" hidden="false" customHeight="false" outlineLevel="0" collapsed="false">
      <c r="C3" s="0" t="s">
        <v>214</v>
      </c>
      <c r="D3" s="72" t="n">
        <v>-0.361963534320409</v>
      </c>
      <c r="E3" s="111" t="n">
        <v>0.56730853766308</v>
      </c>
    </row>
    <row r="4" customFormat="false" ht="15" hidden="false" customHeight="false" outlineLevel="0" collapsed="false">
      <c r="C4" s="0" t="s">
        <v>215</v>
      </c>
      <c r="D4" s="72" t="n">
        <v>-0.25</v>
      </c>
      <c r="E4" s="111" t="n">
        <v>0.25</v>
      </c>
    </row>
    <row r="5" customFormat="false" ht="15" hidden="false" customHeight="false" outlineLevel="0" collapsed="false">
      <c r="C5" s="0" t="s">
        <v>216</v>
      </c>
      <c r="D5" s="72" t="n">
        <v>-0.25</v>
      </c>
      <c r="E5" s="111" t="n">
        <v>0.25</v>
      </c>
    </row>
    <row r="6" customFormat="false" ht="15" hidden="false" customHeight="false" outlineLevel="0" collapsed="false">
      <c r="C6" s="0" t="s">
        <v>39</v>
      </c>
      <c r="D6" s="72" t="n">
        <v>-0.25</v>
      </c>
      <c r="E6" s="111" t="n">
        <v>0.25</v>
      </c>
    </row>
    <row r="7" customFormat="false" ht="15" hidden="false" customHeight="false" outlineLevel="0" collapsed="false">
      <c r="C7" s="0" t="s">
        <v>217</v>
      </c>
      <c r="D7" s="72" t="n">
        <v>-0.142647248503661</v>
      </c>
      <c r="E7" s="111" t="n">
        <v>0.14264724850366</v>
      </c>
    </row>
    <row r="8" customFormat="false" ht="15" hidden="false" customHeight="false" outlineLevel="0" collapsed="false">
      <c r="C8" s="0" t="s">
        <v>218</v>
      </c>
      <c r="D8" s="72" t="n">
        <v>-0.107352751496339</v>
      </c>
      <c r="E8" s="111" t="n">
        <v>0.107352751496339</v>
      </c>
    </row>
    <row r="9" customFormat="false" ht="15" hidden="false" customHeight="false" outlineLevel="0" collapsed="false">
      <c r="C9" s="0" t="s">
        <v>219</v>
      </c>
      <c r="D9" s="72" t="n">
        <v>0.10195947346779</v>
      </c>
      <c r="E9" s="72" t="n">
        <v>-0.0727463748110136</v>
      </c>
    </row>
    <row r="10" customFormat="false" ht="15" hidden="false" customHeight="false" outlineLevel="0" collapsed="false">
      <c r="C10" s="0" t="s">
        <v>220</v>
      </c>
      <c r="D10" s="72" t="n">
        <v>0.309570443988403</v>
      </c>
      <c r="E10" s="72" t="n">
        <v>-0.188940842633557</v>
      </c>
    </row>
    <row r="11" customFormat="false" ht="15" hidden="false" customHeight="false" outlineLevel="0" collapsed="false">
      <c r="C11" s="0" t="s">
        <v>221</v>
      </c>
      <c r="D11" s="72" t="n">
        <v>0.333333333333333</v>
      </c>
      <c r="E11" s="72" t="n">
        <v>-0.2</v>
      </c>
    </row>
    <row r="12" customFormat="false" ht="15" hidden="false" customHeight="false" outlineLevel="0" collapsed="false">
      <c r="C12" s="0" t="s">
        <v>222</v>
      </c>
      <c r="D12" s="72" t="n">
        <v>0.333333333333333</v>
      </c>
      <c r="E12" s="72" t="n">
        <v>-0.2</v>
      </c>
    </row>
    <row r="13" customFormat="false" ht="15" hidden="false" customHeight="false" outlineLevel="0" collapsed="false">
      <c r="C13" s="0" t="s">
        <v>223</v>
      </c>
      <c r="D13" s="72" t="n">
        <v>0.333333333333333</v>
      </c>
      <c r="E13" s="72" t="n">
        <v>-0.2</v>
      </c>
    </row>
    <row r="14" customFormat="false" ht="15" hidden="false" customHeight="false" outlineLevel="0" collapsed="false">
      <c r="D14" s="72"/>
      <c r="E14" s="72"/>
    </row>
    <row r="15" customFormat="false" ht="15" hidden="false" customHeight="false" outlineLevel="0" collapsed="false">
      <c r="D15" s="72"/>
      <c r="E15" s="72"/>
    </row>
    <row r="17" customFormat="false" ht="30" hidden="false" customHeight="false" outlineLevel="0" collapsed="false">
      <c r="C17" s="0" t="s">
        <v>224</v>
      </c>
      <c r="D17" s="4" t="s">
        <v>212</v>
      </c>
      <c r="E17" s="4" t="s">
        <v>213</v>
      </c>
    </row>
    <row r="18" customFormat="false" ht="15" hidden="false" customHeight="false" outlineLevel="0" collapsed="false">
      <c r="C18" s="0" t="s">
        <v>225</v>
      </c>
      <c r="D18" s="72" t="n">
        <v>-0.249994660332044</v>
      </c>
      <c r="E18" s="72" t="n">
        <v>0.249980101245401</v>
      </c>
    </row>
    <row r="19" customFormat="false" ht="15" hidden="false" customHeight="false" outlineLevel="0" collapsed="false">
      <c r="C19" s="0" t="s">
        <v>226</v>
      </c>
      <c r="D19" s="72" t="n">
        <v>-0.237564574319464</v>
      </c>
      <c r="E19" s="72" t="n">
        <v>0.237550015232821</v>
      </c>
    </row>
    <row r="20" customFormat="false" ht="15" hidden="false" customHeight="false" outlineLevel="0" collapsed="false">
      <c r="C20" s="0" t="s">
        <v>227</v>
      </c>
      <c r="D20" s="72" t="n">
        <v>-0.237557294776142</v>
      </c>
      <c r="E20" s="72" t="n">
        <v>0.237557294776143</v>
      </c>
    </row>
    <row r="21" customFormat="false" ht="15" hidden="false" customHeight="false" outlineLevel="0" collapsed="false">
      <c r="C21" s="0" t="s">
        <v>218</v>
      </c>
      <c r="D21" s="72" t="n">
        <v>-0.221828580707914</v>
      </c>
      <c r="E21" s="72" t="n">
        <v>0.221814021621271</v>
      </c>
    </row>
    <row r="22" customFormat="false" ht="15" hidden="false" customHeight="false" outlineLevel="0" collapsed="false">
      <c r="C22" s="0" t="s">
        <v>217</v>
      </c>
      <c r="D22" s="72" t="n">
        <v>-0.0281841536721815</v>
      </c>
      <c r="E22" s="72" t="n">
        <v>0.0281695945855391</v>
      </c>
    </row>
    <row r="23" customFormat="false" ht="15" hidden="false" customHeight="false" outlineLevel="0" collapsed="false">
      <c r="C23" s="0" t="s">
        <v>220</v>
      </c>
      <c r="D23" s="72" t="n">
        <v>0.0375670387596748</v>
      </c>
      <c r="E23" s="72" t="n">
        <v>-0.0225444694191797</v>
      </c>
    </row>
    <row r="24" customFormat="false" ht="15" hidden="false" customHeight="false" outlineLevel="0" collapsed="false">
      <c r="C24" s="0" t="s">
        <v>228</v>
      </c>
      <c r="D24" s="72" t="n">
        <v>0.0375736505552409</v>
      </c>
      <c r="E24" s="72" t="n">
        <v>-0.0225444694191797</v>
      </c>
    </row>
    <row r="25" customFormat="false" ht="15" hidden="false" customHeight="false" outlineLevel="0" collapsed="false">
      <c r="C25" s="0" t="s">
        <v>229</v>
      </c>
      <c r="D25" s="72" t="n">
        <v>0.333309228174975</v>
      </c>
      <c r="E25" s="72" t="n">
        <v>-0.199997184174299</v>
      </c>
    </row>
    <row r="26" customFormat="false" ht="15" hidden="false" customHeight="false" outlineLevel="0" collapsed="false">
      <c r="C26" s="0" t="s">
        <v>230</v>
      </c>
      <c r="D26" s="72" t="n">
        <v>0.33332362084795</v>
      </c>
      <c r="E26" s="72" t="n">
        <v>-0.200005819778084</v>
      </c>
    </row>
    <row r="27" customFormat="false" ht="15" hidden="false" customHeight="false" outlineLevel="0" collapsed="false">
      <c r="C27" s="0" t="s">
        <v>223</v>
      </c>
      <c r="D27" s="72" t="n">
        <v>0.33332362084795</v>
      </c>
      <c r="E27" s="72" t="n">
        <v>-0.200005819778084</v>
      </c>
    </row>
    <row r="28" customFormat="false" ht="15" hidden="false" customHeight="false" outlineLevel="0" collapsed="false">
      <c r="D28" s="72"/>
      <c r="E28" s="72"/>
    </row>
    <row r="29" customFormat="false" ht="15" hidden="false" customHeight="false" outlineLevel="0" collapsed="false">
      <c r="D29" s="72"/>
      <c r="E29" s="72"/>
    </row>
    <row r="30" customFormat="false" ht="15" hidden="false" customHeight="false" outlineLevel="0" collapsed="false">
      <c r="D30" s="72"/>
      <c r="E30" s="72"/>
    </row>
    <row r="31" customFormat="false" ht="15" hidden="false" customHeight="false" outlineLevel="0" collapsed="false">
      <c r="D31" s="72"/>
      <c r="E31" s="7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2019-11-20T21:11:56Z</dcterms:created>
  <dc:creator>D Risner</dc:creator>
  <dc:description/>
  <dc:language>en-US</dc:language>
  <cp:lastModifiedBy/>
  <dcterms:modified xsi:type="dcterms:W3CDTF">2020-07-02T11:16:24Z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